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-my.sharepoint.com/personal/sguttiku_uiowa_edu/Documents/SIM-air/simair_wp_series/SIM-63-2025-Delhi-40ug-Pathways/"/>
    </mc:Choice>
  </mc:AlternateContent>
  <xr:revisionPtr revIDLastSave="1172" documentId="8_{298A6421-CA79-429C-B75E-41DDCF296F99}" xr6:coauthVersionLast="47" xr6:coauthVersionMax="47" xr10:uidLastSave="{66083685-B044-4DC9-9B0E-470EADB13332}"/>
  <bookViews>
    <workbookView xWindow="-108" yWindow="-108" windowWidth="23256" windowHeight="13896" activeTab="5" xr2:uid="{19BD4C71-28CA-4211-8765-634458B1B84A}"/>
  </bookViews>
  <sheets>
    <sheet name="monthly_concs" sheetId="1" r:id="rId1"/>
    <sheet name="covid-scenario" sheetId="9" r:id="rId2"/>
    <sheet name="pmsa" sheetId="5" r:id="rId3"/>
    <sheet name="drops" sheetId="6" r:id="rId4"/>
    <sheet name="player1" sheetId="8" r:id="rId5"/>
    <sheet name="player2" sheetId="10" r:id="rId6"/>
    <sheet name="ncap-delay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0" l="1"/>
  <c r="B12" i="8" s="1"/>
  <c r="AG41" i="13"/>
  <c r="AF41" i="13"/>
  <c r="AA41" i="13"/>
  <c r="AA40" i="13"/>
  <c r="AG40" i="13"/>
  <c r="AF40" i="13"/>
  <c r="Z40" i="10"/>
  <c r="AB46" i="10"/>
  <c r="C2" i="6" l="1"/>
  <c r="C8" i="6" s="1"/>
  <c r="AJ5" i="10"/>
  <c r="AF43" i="13"/>
  <c r="AD43" i="13"/>
  <c r="AJ21" i="13"/>
  <c r="AJ22" i="13"/>
  <c r="AJ23" i="13"/>
  <c r="AJ24" i="13"/>
  <c r="AJ25" i="13"/>
  <c r="AJ26" i="13"/>
  <c r="AJ27" i="13"/>
  <c r="AJ28" i="13"/>
  <c r="AJ29" i="13"/>
  <c r="AJ30" i="13"/>
  <c r="AA27" i="13" s="1"/>
  <c r="AJ31" i="13"/>
  <c r="AJ32" i="13"/>
  <c r="AJ33" i="13"/>
  <c r="AJ34" i="13"/>
  <c r="AJ35" i="13"/>
  <c r="AJ36" i="13"/>
  <c r="AJ37" i="13"/>
  <c r="AJ38" i="13"/>
  <c r="AJ39" i="13"/>
  <c r="AJ40" i="13"/>
  <c r="AJ41" i="13"/>
  <c r="AJ20" i="13"/>
  <c r="AA18" i="13"/>
  <c r="AJ12" i="13"/>
  <c r="AK12" i="13" s="1"/>
  <c r="AJ11" i="13"/>
  <c r="AK11" i="13" s="1"/>
  <c r="AJ10" i="13"/>
  <c r="AK10" i="13" s="1"/>
  <c r="B10" i="13"/>
  <c r="AK9" i="13"/>
  <c r="AJ9" i="13"/>
  <c r="B9" i="13"/>
  <c r="AJ8" i="13"/>
  <c r="B8" i="13"/>
  <c r="AK7" i="13"/>
  <c r="AJ7" i="13"/>
  <c r="B7" i="13"/>
  <c r="AJ6" i="13"/>
  <c r="B6" i="13"/>
  <c r="AJ5" i="13"/>
  <c r="B5" i="13"/>
  <c r="B4" i="13"/>
  <c r="B3" i="13"/>
  <c r="AK5" i="13" s="1"/>
  <c r="AF45" i="10"/>
  <c r="AF44" i="10"/>
  <c r="AF46" i="10"/>
  <c r="AF47" i="10"/>
  <c r="AF43" i="10"/>
  <c r="AF42" i="10"/>
  <c r="U23" i="5"/>
  <c r="U26" i="5"/>
  <c r="U27" i="5"/>
  <c r="U28" i="5"/>
  <c r="U29" i="5"/>
  <c r="U30" i="5"/>
  <c r="U31" i="5"/>
  <c r="U32" i="5"/>
  <c r="U25" i="5"/>
  <c r="B6" i="10"/>
  <c r="B7" i="10"/>
  <c r="B8" i="10"/>
  <c r="B9" i="10"/>
  <c r="B10" i="10"/>
  <c r="B5" i="10"/>
  <c r="B4" i="10"/>
  <c r="B3" i="10"/>
  <c r="AK5" i="10" s="1"/>
  <c r="G42" i="9"/>
  <c r="H42" i="9"/>
  <c r="I42" i="9"/>
  <c r="J42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Q27" i="9"/>
  <c r="Q31" i="9" s="1"/>
  <c r="P27" i="9"/>
  <c r="P31" i="9" s="1"/>
  <c r="O27" i="9"/>
  <c r="O31" i="9" s="1"/>
  <c r="N27" i="9"/>
  <c r="N31" i="9" s="1"/>
  <c r="N35" i="9" s="1"/>
  <c r="M27" i="9"/>
  <c r="M31" i="9" s="1"/>
  <c r="M35" i="9" s="1"/>
  <c r="L27" i="9"/>
  <c r="L31" i="9" s="1"/>
  <c r="K27" i="9"/>
  <c r="K31" i="9" s="1"/>
  <c r="J27" i="9"/>
  <c r="J29" i="9" s="1"/>
  <c r="I27" i="9"/>
  <c r="I31" i="9" s="1"/>
  <c r="H27" i="9"/>
  <c r="H31" i="9" s="1"/>
  <c r="G27" i="9"/>
  <c r="G31" i="9" s="1"/>
  <c r="F27" i="9"/>
  <c r="C3" i="6" l="1"/>
  <c r="D19" i="6"/>
  <c r="D18" i="6"/>
  <c r="D7" i="6"/>
  <c r="D10" i="6"/>
  <c r="C19" i="6"/>
  <c r="C14" i="6"/>
  <c r="C18" i="6"/>
  <c r="C17" i="6"/>
  <c r="C16" i="6"/>
  <c r="C15" i="6"/>
  <c r="D21" i="6"/>
  <c r="E21" i="6" s="1"/>
  <c r="F21" i="6" s="1"/>
  <c r="D20" i="6"/>
  <c r="C13" i="6"/>
  <c r="C9" i="6"/>
  <c r="C12" i="6"/>
  <c r="C7" i="6"/>
  <c r="E7" i="6" s="1"/>
  <c r="F7" i="6" s="1"/>
  <c r="C11" i="6"/>
  <c r="C22" i="6"/>
  <c r="C10" i="6"/>
  <c r="C21" i="6"/>
  <c r="C20" i="6"/>
  <c r="D17" i="6"/>
  <c r="E17" i="6" s="1"/>
  <c r="F17" i="6" s="1"/>
  <c r="D16" i="6"/>
  <c r="E16" i="6" s="1"/>
  <c r="F16" i="6" s="1"/>
  <c r="D14" i="6"/>
  <c r="D12" i="6"/>
  <c r="D11" i="6"/>
  <c r="D9" i="6"/>
  <c r="D8" i="6"/>
  <c r="E8" i="6" s="1"/>
  <c r="F8" i="6" s="1"/>
  <c r="D22" i="6"/>
  <c r="D15" i="6"/>
  <c r="D13" i="6"/>
  <c r="AA38" i="13"/>
  <c r="AA37" i="13"/>
  <c r="AA36" i="13"/>
  <c r="AA24" i="13"/>
  <c r="AA34" i="13"/>
  <c r="AA19" i="13"/>
  <c r="AA30" i="13"/>
  <c r="AA32" i="13"/>
  <c r="AA21" i="13"/>
  <c r="AA23" i="13"/>
  <c r="AA33" i="13"/>
  <c r="AA22" i="13"/>
  <c r="AA31" i="13"/>
  <c r="AA20" i="13"/>
  <c r="AA26" i="13"/>
  <c r="AA29" i="13"/>
  <c r="AA35" i="13"/>
  <c r="AA25" i="13"/>
  <c r="AA28" i="13"/>
  <c r="AK8" i="13"/>
  <c r="AK6" i="13"/>
  <c r="AK13" i="13" s="1"/>
  <c r="AJ13" i="13"/>
  <c r="R27" i="9"/>
  <c r="Q35" i="9"/>
  <c r="Q36" i="9"/>
  <c r="I36" i="9"/>
  <c r="I35" i="9"/>
  <c r="I38" i="9"/>
  <c r="I39" i="9" s="1"/>
  <c r="G36" i="9"/>
  <c r="G35" i="9"/>
  <c r="G38" i="9"/>
  <c r="G39" i="9" s="1"/>
  <c r="H36" i="9"/>
  <c r="H38" i="9" s="1"/>
  <c r="H39" i="9" s="1"/>
  <c r="H35" i="9"/>
  <c r="K36" i="9"/>
  <c r="K35" i="9"/>
  <c r="L35" i="9"/>
  <c r="H29" i="9"/>
  <c r="M36" i="9"/>
  <c r="I29" i="9"/>
  <c r="N36" i="9"/>
  <c r="P35" i="9"/>
  <c r="F31" i="9"/>
  <c r="P36" i="9"/>
  <c r="L36" i="9"/>
  <c r="J31" i="9"/>
  <c r="O35" i="9"/>
  <c r="O36" i="9"/>
  <c r="E22" i="6" l="1"/>
  <c r="F22" i="6" s="1"/>
  <c r="G22" i="6" s="1"/>
  <c r="E18" i="6"/>
  <c r="F18" i="6" s="1"/>
  <c r="E19" i="6"/>
  <c r="F19" i="6" s="1"/>
  <c r="E20" i="6"/>
  <c r="F20" i="6" s="1"/>
  <c r="G20" i="6" s="1"/>
  <c r="AA37" i="10" s="1"/>
  <c r="E10" i="6"/>
  <c r="F10" i="6" s="1"/>
  <c r="G10" i="6" s="1"/>
  <c r="AA27" i="10" s="1"/>
  <c r="E14" i="6"/>
  <c r="F14" i="6" s="1"/>
  <c r="G21" i="6"/>
  <c r="AA38" i="10" s="1"/>
  <c r="G18" i="6"/>
  <c r="AA35" i="10" s="1"/>
  <c r="G16" i="6"/>
  <c r="AA33" i="10" s="1"/>
  <c r="G17" i="6"/>
  <c r="AA34" i="10" s="1"/>
  <c r="G7" i="6"/>
  <c r="AA24" i="10" s="1"/>
  <c r="G8" i="6"/>
  <c r="E13" i="6"/>
  <c r="F13" i="6" s="1"/>
  <c r="E15" i="6"/>
  <c r="E12" i="6"/>
  <c r="F12" i="6" s="1"/>
  <c r="E11" i="6"/>
  <c r="F11" i="6" s="1"/>
  <c r="E9" i="6"/>
  <c r="F9" i="6" s="1"/>
  <c r="N38" i="9"/>
  <c r="N39" i="9" s="1"/>
  <c r="M38" i="9"/>
  <c r="M39" i="9" s="1"/>
  <c r="O38" i="9"/>
  <c r="O39" i="9" s="1"/>
  <c r="M42" i="9"/>
  <c r="Q38" i="9"/>
  <c r="Q39" i="9" s="1"/>
  <c r="Q42" i="9"/>
  <c r="P38" i="9"/>
  <c r="P39" i="9" s="1"/>
  <c r="L38" i="9"/>
  <c r="L39" i="9" s="1"/>
  <c r="K38" i="9"/>
  <c r="K39" i="9" s="1"/>
  <c r="N41" i="9"/>
  <c r="J35" i="9"/>
  <c r="J36" i="9"/>
  <c r="J38" i="9"/>
  <c r="J39" i="9" s="1"/>
  <c r="G41" i="9"/>
  <c r="G43" i="9"/>
  <c r="R31" i="9"/>
  <c r="F36" i="9"/>
  <c r="F35" i="9"/>
  <c r="I43" i="9"/>
  <c r="I41" i="9"/>
  <c r="N43" i="9"/>
  <c r="O43" i="9"/>
  <c r="H41" i="9"/>
  <c r="H43" i="9"/>
  <c r="Q43" i="9"/>
  <c r="Q41" i="9"/>
  <c r="G19" i="6" l="1"/>
  <c r="AA36" i="10" s="1"/>
  <c r="F15" i="6"/>
  <c r="G15" i="6" s="1"/>
  <c r="AA32" i="10" s="1"/>
  <c r="G9" i="6"/>
  <c r="AA26" i="10" s="1"/>
  <c r="G14" i="6"/>
  <c r="AA31" i="10" s="1"/>
  <c r="G12" i="6"/>
  <c r="AA29" i="10" s="1"/>
  <c r="G11" i="6"/>
  <c r="AA28" i="10" s="1"/>
  <c r="G13" i="6"/>
  <c r="AA30" i="10" s="1"/>
  <c r="AA25" i="10"/>
  <c r="P43" i="9"/>
  <c r="N42" i="9"/>
  <c r="L41" i="9"/>
  <c r="L43" i="9"/>
  <c r="O41" i="9"/>
  <c r="O42" i="9"/>
  <c r="M43" i="9"/>
  <c r="M41" i="9"/>
  <c r="L42" i="9"/>
  <c r="P41" i="9"/>
  <c r="P42" i="9"/>
  <c r="K42" i="9"/>
  <c r="R35" i="9"/>
  <c r="R36" i="9"/>
  <c r="K43" i="9"/>
  <c r="F38" i="9"/>
  <c r="K41" i="9"/>
  <c r="J43" i="9"/>
  <c r="J41" i="9"/>
  <c r="AA40" i="10" l="1"/>
  <c r="L30" i="10" s="1"/>
  <c r="F39" i="9"/>
  <c r="F41" i="9" s="1"/>
  <c r="R41" i="9" s="1"/>
  <c r="R38" i="9"/>
  <c r="F42" i="9" l="1"/>
  <c r="R42" i="9" s="1"/>
  <c r="F43" i="9"/>
  <c r="R43" i="9" s="1"/>
  <c r="B17" i="8" l="1"/>
  <c r="B16" i="8"/>
  <c r="B15" i="8"/>
  <c r="G21" i="8" l="1"/>
  <c r="G22" i="8"/>
  <c r="G23" i="8"/>
  <c r="G24" i="8"/>
  <c r="G25" i="8"/>
  <c r="G26" i="8"/>
  <c r="G27" i="8"/>
  <c r="G28" i="8"/>
  <c r="G17" i="8"/>
  <c r="G29" i="8"/>
  <c r="G18" i="8"/>
  <c r="G30" i="8"/>
  <c r="G19" i="8"/>
  <c r="G16" i="8"/>
  <c r="G20" i="8"/>
  <c r="F2" i="5"/>
  <c r="G2" i="5"/>
  <c r="H2" i="5"/>
  <c r="I2" i="5"/>
  <c r="J2" i="5"/>
  <c r="K2" i="5"/>
  <c r="L2" i="5"/>
  <c r="L8" i="5" s="1"/>
  <c r="L31" i="5" s="1"/>
  <c r="L34" i="5" s="1"/>
  <c r="M2" i="5"/>
  <c r="M8" i="5" s="1"/>
  <c r="M31" i="5" s="1"/>
  <c r="M34" i="5" s="1"/>
  <c r="N2" i="5"/>
  <c r="N7" i="5" s="1"/>
  <c r="N28" i="5" s="1"/>
  <c r="N35" i="5" s="1"/>
  <c r="O2" i="5"/>
  <c r="P2" i="5"/>
  <c r="E2" i="5"/>
  <c r="P17" i="5"/>
  <c r="O17" i="5"/>
  <c r="N17" i="5"/>
  <c r="M17" i="5"/>
  <c r="L17" i="5"/>
  <c r="K17" i="5"/>
  <c r="J17" i="5"/>
  <c r="I17" i="5"/>
  <c r="H17" i="5"/>
  <c r="G17" i="5"/>
  <c r="F17" i="5"/>
  <c r="E17" i="5"/>
  <c r="H8" i="5"/>
  <c r="H31" i="5" s="1"/>
  <c r="H34" i="5" s="1"/>
  <c r="N8" i="5" l="1"/>
  <c r="N31" i="5" s="1"/>
  <c r="N34" i="5" s="1"/>
  <c r="F7" i="5"/>
  <c r="F28" i="5" s="1"/>
  <c r="F35" i="5" s="1"/>
  <c r="G7" i="5"/>
  <c r="G28" i="5" s="1"/>
  <c r="G35" i="5" s="1"/>
  <c r="M7" i="5"/>
  <c r="M28" i="5" s="1"/>
  <c r="M35" i="5" s="1"/>
  <c r="N9" i="5"/>
  <c r="N23" i="5" s="1"/>
  <c r="N32" i="5" s="1"/>
  <c r="F8" i="5"/>
  <c r="F31" i="5" s="1"/>
  <c r="F34" i="5" s="1"/>
  <c r="G8" i="5"/>
  <c r="G31" i="5" s="1"/>
  <c r="G34" i="5" s="1"/>
  <c r="F9" i="5"/>
  <c r="F18" i="5" s="1"/>
  <c r="F25" i="5" s="1"/>
  <c r="O7" i="5"/>
  <c r="O28" i="5" s="1"/>
  <c r="O35" i="5" s="1"/>
  <c r="O8" i="5"/>
  <c r="O31" i="5" s="1"/>
  <c r="O34" i="5" s="1"/>
  <c r="O9" i="5"/>
  <c r="P8" i="5"/>
  <c r="P31" i="5" s="1"/>
  <c r="P34" i="5" s="1"/>
  <c r="E7" i="5"/>
  <c r="E28" i="5" s="1"/>
  <c r="E35" i="5" s="1"/>
  <c r="Q2" i="5"/>
  <c r="P7" i="5"/>
  <c r="P28" i="5" s="1"/>
  <c r="P35" i="5" s="1"/>
  <c r="E8" i="5"/>
  <c r="I8" i="5"/>
  <c r="I31" i="5" s="1"/>
  <c r="I34" i="5" s="1"/>
  <c r="H7" i="5"/>
  <c r="J8" i="5"/>
  <c r="J31" i="5" s="1"/>
  <c r="J34" i="5" s="1"/>
  <c r="J7" i="5"/>
  <c r="I7" i="5"/>
  <c r="K7" i="5"/>
  <c r="K28" i="5" s="1"/>
  <c r="K35" i="5" s="1"/>
  <c r="L7" i="5"/>
  <c r="K8" i="5"/>
  <c r="K31" i="5" s="1"/>
  <c r="K34" i="5" s="1"/>
  <c r="N22" i="5" l="1"/>
  <c r="N30" i="5" s="1"/>
  <c r="N21" i="5"/>
  <c r="N29" i="5" s="1"/>
  <c r="N36" i="5" s="1"/>
  <c r="N18" i="5"/>
  <c r="N25" i="5" s="1"/>
  <c r="N20" i="5"/>
  <c r="N27" i="5" s="1"/>
  <c r="N19" i="5"/>
  <c r="N26" i="5" s="1"/>
  <c r="M9" i="5"/>
  <c r="Q34" i="5"/>
  <c r="G9" i="5"/>
  <c r="L9" i="5"/>
  <c r="L22" i="5" s="1"/>
  <c r="L30" i="5" s="1"/>
  <c r="L28" i="5"/>
  <c r="L35" i="5" s="1"/>
  <c r="Q35" i="5" s="1"/>
  <c r="I9" i="5"/>
  <c r="I19" i="5" s="1"/>
  <c r="I26" i="5" s="1"/>
  <c r="I28" i="5"/>
  <c r="I35" i="5" s="1"/>
  <c r="J9" i="5"/>
  <c r="J23" i="5" s="1"/>
  <c r="J32" i="5" s="1"/>
  <c r="J28" i="5"/>
  <c r="J35" i="5" s="1"/>
  <c r="F19" i="5"/>
  <c r="F26" i="5" s="1"/>
  <c r="H9" i="5"/>
  <c r="H18" i="5" s="1"/>
  <c r="H25" i="5" s="1"/>
  <c r="H28" i="5"/>
  <c r="H35" i="5" s="1"/>
  <c r="F20" i="5"/>
  <c r="F27" i="5" s="1"/>
  <c r="F21" i="5"/>
  <c r="F29" i="5" s="1"/>
  <c r="F23" i="5"/>
  <c r="F32" i="5" s="1"/>
  <c r="F22" i="5"/>
  <c r="F30" i="5" s="1"/>
  <c r="T28" i="5"/>
  <c r="K9" i="5"/>
  <c r="K22" i="5" s="1"/>
  <c r="K30" i="5" s="1"/>
  <c r="G20" i="5"/>
  <c r="G27" i="5" s="1"/>
  <c r="G21" i="5"/>
  <c r="G29" i="5" s="1"/>
  <c r="P9" i="5"/>
  <c r="P21" i="5" s="1"/>
  <c r="P29" i="5" s="1"/>
  <c r="P23" i="5"/>
  <c r="P32" i="5" s="1"/>
  <c r="P22" i="5"/>
  <c r="P30" i="5" s="1"/>
  <c r="H20" i="5"/>
  <c r="H27" i="5" s="1"/>
  <c r="H19" i="5"/>
  <c r="H26" i="5" s="1"/>
  <c r="L18" i="5"/>
  <c r="L25" i="5" s="1"/>
  <c r="L23" i="5"/>
  <c r="L32" i="5" s="1"/>
  <c r="L19" i="5"/>
  <c r="L26" i="5" s="1"/>
  <c r="L20" i="5"/>
  <c r="L27" i="5" s="1"/>
  <c r="L21" i="5"/>
  <c r="L29" i="5" s="1"/>
  <c r="Q7" i="5"/>
  <c r="E9" i="5"/>
  <c r="Q8" i="5"/>
  <c r="E31" i="5"/>
  <c r="E34" i="5" s="1"/>
  <c r="O23" i="5"/>
  <c r="O32" i="5" s="1"/>
  <c r="O22" i="5"/>
  <c r="O30" i="5" s="1"/>
  <c r="O19" i="5"/>
  <c r="O26" i="5" s="1"/>
  <c r="O20" i="5"/>
  <c r="O27" i="5" s="1"/>
  <c r="O21" i="5"/>
  <c r="O29" i="5" s="1"/>
  <c r="O18" i="5"/>
  <c r="O25" i="5" s="1"/>
  <c r="J22" i="5" l="1"/>
  <c r="J30" i="5" s="1"/>
  <c r="J18" i="5"/>
  <c r="J25" i="5" s="1"/>
  <c r="I20" i="5"/>
  <c r="I27" i="5" s="1"/>
  <c r="I23" i="5"/>
  <c r="I32" i="5" s="1"/>
  <c r="I21" i="5"/>
  <c r="I29" i="5" s="1"/>
  <c r="F36" i="5"/>
  <c r="O36" i="5"/>
  <c r="I22" i="5"/>
  <c r="I30" i="5" s="1"/>
  <c r="I18" i="5"/>
  <c r="I25" i="5" s="1"/>
  <c r="M20" i="5"/>
  <c r="M27" i="5" s="1"/>
  <c r="M19" i="5"/>
  <c r="M26" i="5" s="1"/>
  <c r="M21" i="5"/>
  <c r="M29" i="5" s="1"/>
  <c r="M22" i="5"/>
  <c r="M30" i="5" s="1"/>
  <c r="M23" i="5"/>
  <c r="M32" i="5" s="1"/>
  <c r="M18" i="5"/>
  <c r="M25" i="5" s="1"/>
  <c r="L36" i="5"/>
  <c r="K20" i="5"/>
  <c r="K27" i="5" s="1"/>
  <c r="K21" i="5"/>
  <c r="K29" i="5" s="1"/>
  <c r="K19" i="5"/>
  <c r="K26" i="5" s="1"/>
  <c r="K23" i="5"/>
  <c r="K32" i="5" s="1"/>
  <c r="S28" i="5"/>
  <c r="Q28" i="5"/>
  <c r="H22" i="5"/>
  <c r="H30" i="5" s="1"/>
  <c r="J21" i="5"/>
  <c r="J29" i="5" s="1"/>
  <c r="J36" i="5" s="1"/>
  <c r="P19" i="5"/>
  <c r="P26" i="5" s="1"/>
  <c r="P20" i="5"/>
  <c r="P27" i="5" s="1"/>
  <c r="K18" i="5"/>
  <c r="K25" i="5" s="1"/>
  <c r="H23" i="5"/>
  <c r="H32" i="5" s="1"/>
  <c r="J20" i="5"/>
  <c r="J27" i="5" s="1"/>
  <c r="P18" i="5"/>
  <c r="P25" i="5" s="1"/>
  <c r="P36" i="5" s="1"/>
  <c r="H21" i="5"/>
  <c r="H29" i="5" s="1"/>
  <c r="J19" i="5"/>
  <c r="J26" i="5" s="1"/>
  <c r="G23" i="5"/>
  <c r="G32" i="5" s="1"/>
  <c r="G19" i="5"/>
  <c r="G26" i="5" s="1"/>
  <c r="G18" i="5"/>
  <c r="G25" i="5" s="1"/>
  <c r="G22" i="5"/>
  <c r="G30" i="5" s="1"/>
  <c r="T31" i="5"/>
  <c r="S31" i="5"/>
  <c r="Q31" i="5"/>
  <c r="E23" i="5"/>
  <c r="E22" i="5"/>
  <c r="E21" i="5"/>
  <c r="E20" i="5"/>
  <c r="E27" i="5" s="1"/>
  <c r="E18" i="5"/>
  <c r="Q9" i="5"/>
  <c r="E19" i="5"/>
  <c r="G36" i="5" l="1"/>
  <c r="H36" i="5"/>
  <c r="AJ8" i="10"/>
  <c r="AK8" i="10" s="1"/>
  <c r="I36" i="5"/>
  <c r="AJ11" i="10"/>
  <c r="AK11" i="10" s="1"/>
  <c r="M36" i="5"/>
  <c r="K36" i="5"/>
  <c r="S27" i="5"/>
  <c r="T27" i="5"/>
  <c r="E26" i="5"/>
  <c r="Q19" i="5"/>
  <c r="E25" i="5"/>
  <c r="Q18" i="5"/>
  <c r="Q20" i="5"/>
  <c r="E29" i="5"/>
  <c r="Q21" i="5"/>
  <c r="Q22" i="5"/>
  <c r="E30" i="5"/>
  <c r="Q23" i="5"/>
  <c r="E32" i="5"/>
  <c r="E36" i="5" l="1"/>
  <c r="Q36" i="5"/>
  <c r="S30" i="5"/>
  <c r="T30" i="5"/>
  <c r="S29" i="5"/>
  <c r="T29" i="5"/>
  <c r="S26" i="5"/>
  <c r="T26" i="5"/>
  <c r="S32" i="5"/>
  <c r="T32" i="5"/>
  <c r="Q27" i="5"/>
  <c r="Q32" i="5"/>
  <c r="Q30" i="5"/>
  <c r="Q29" i="5"/>
  <c r="T25" i="5"/>
  <c r="S25" i="5"/>
  <c r="Q25" i="5"/>
  <c r="Q26" i="5"/>
  <c r="AJ6" i="10" l="1"/>
  <c r="AK6" i="10" s="1"/>
  <c r="AJ7" i="10"/>
  <c r="AK7" i="10" s="1"/>
  <c r="AJ9" i="10"/>
  <c r="AK9" i="10" s="1"/>
  <c r="AJ10" i="10"/>
  <c r="AK10" i="10" s="1"/>
  <c r="AJ12" i="10"/>
  <c r="AK12" i="10" s="1"/>
  <c r="S23" i="5"/>
  <c r="T23" i="5"/>
  <c r="AK13" i="10" l="1"/>
  <c r="AJ13" i="10"/>
</calcChain>
</file>

<file path=xl/sharedStrings.xml><?xml version="1.0" encoding="utf-8"?>
<sst xmlns="http://schemas.openxmlformats.org/spreadsheetml/2006/main" count="236" uniqueCount="92">
  <si>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</si>
  <si>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</si>
  <si>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</si>
  <si>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</si>
  <si>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</si>
  <si>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</si>
  <si>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</si>
  <si>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</si>
  <si>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</si>
  <si>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</si>
  <si>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</si>
  <si>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</si>
  <si>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</si>
  <si>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</si>
  <si>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heating share ug/m3</t>
  </si>
  <si>
    <t>stubble share ug/m3</t>
  </si>
  <si>
    <t>remaining share ug/m3</t>
  </si>
  <si>
    <t>assumed 2040 = 2019-2025 average</t>
  </si>
  <si>
    <t>assumed heating</t>
  </si>
  <si>
    <t>assumed stubble</t>
  </si>
  <si>
    <t>assumed transport</t>
  </si>
  <si>
    <t>assumed dust</t>
  </si>
  <si>
    <t>assumed cooking</t>
  </si>
  <si>
    <t>assumed industries</t>
  </si>
  <si>
    <t>assumed waste</t>
  </si>
  <si>
    <t>Of the remaining ==&gt;</t>
  </si>
  <si>
    <t>transport share ug/m3</t>
  </si>
  <si>
    <t>dust share ug/m3</t>
  </si>
  <si>
    <t>cooking share ug/m3</t>
  </si>
  <si>
    <t>assumed others</t>
  </si>
  <si>
    <t>industries share ug/m3</t>
  </si>
  <si>
    <t>waste share ug/m3</t>
  </si>
  <si>
    <t>others share ug/m3</t>
  </si>
  <si>
    <t>stubble burning share ug/m3</t>
  </si>
  <si>
    <t>DUST</t>
  </si>
  <si>
    <t>TRAN</t>
  </si>
  <si>
    <t>INDI</t>
  </si>
  <si>
    <t>WAST</t>
  </si>
  <si>
    <t>STUB</t>
  </si>
  <si>
    <t>OTHS</t>
  </si>
  <si>
    <t>Winter (NDJF)</t>
  </si>
  <si>
    <t>COOK</t>
  </si>
  <si>
    <t>HEAT</t>
  </si>
  <si>
    <t>max covid-like drop%</t>
  </si>
  <si>
    <t>max heating drop%</t>
  </si>
  <si>
    <t>max stubble drop%</t>
  </si>
  <si>
    <t>40in2040</t>
  </si>
  <si>
    <t>PM25</t>
  </si>
  <si>
    <t>Stand</t>
  </si>
  <si>
    <t>by year 2040</t>
  </si>
  <si>
    <t>2019-2025 average</t>
  </si>
  <si>
    <t>%covid drop</t>
  </si>
  <si>
    <t>assumed heating % in 2040</t>
  </si>
  <si>
    <t>assumed stubble % in 2040</t>
  </si>
  <si>
    <t>covid-like drops on remaining 50%</t>
  </si>
  <si>
    <t>new 2040 + no action on heating and stubble</t>
  </si>
  <si>
    <t>new 2040 minus 75%heating minus stubble</t>
  </si>
  <si>
    <t>new 2040 minus 75%heating</t>
  </si>
  <si>
    <t>Orange band is projected using Monte-Carlo simulations</t>
  </si>
  <si>
    <t>Red dots are historical annual averages</t>
  </si>
  <si>
    <t>Calculations are hidden under the graph (move and see)</t>
  </si>
  <si>
    <t>Blue dots are calculated using maximum possible reductions</t>
  </si>
  <si>
    <t>with input from the scroll bar</t>
  </si>
  <si>
    <t>curve0</t>
  </si>
  <si>
    <t>gradual</t>
  </si>
  <si>
    <t>BASE</t>
  </si>
  <si>
    <t>max cooking drop%</t>
  </si>
  <si>
    <t>max dust drop%</t>
  </si>
  <si>
    <t>max industries drop%</t>
  </si>
  <si>
    <t>max waste drop%</t>
  </si>
  <si>
    <t>max others drop%</t>
  </si>
  <si>
    <t>max transport drop%</t>
  </si>
  <si>
    <t>OTHR</t>
  </si>
  <si>
    <t>BASE2040</t>
  </si>
  <si>
    <t>CONTROL</t>
  </si>
  <si>
    <t>ideal-curve</t>
  </si>
  <si>
    <t>Summer (JJAS)</t>
  </si>
  <si>
    <t>curve</t>
  </si>
  <si>
    <t>var1</t>
  </si>
  <si>
    <t>delay</t>
  </si>
  <si>
    <t>u(t,s)</t>
  </si>
  <si>
    <t>sigma(u)</t>
  </si>
  <si>
    <t>alpha</t>
  </si>
  <si>
    <t>delaydrop</t>
  </si>
  <si>
    <t>var2</t>
  </si>
  <si>
    <t>implementation delay</t>
  </si>
  <si>
    <t>years</t>
  </si>
  <si>
    <t>years (coming from the player page)</t>
  </si>
  <si>
    <t>maximum drop possible during delay period</t>
  </si>
  <si>
    <t>Avoided burden</t>
  </si>
  <si>
    <t>D8</t>
  </si>
  <si>
    <t>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</si>
</sst>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5" borderId="0" xfId="0" applyFill="1" applyAlignment="1">
      <alignment horizontal="right"/>
    </xf>
    <xf numFmtId="0" fontId="0" fillId="5" borderId="0" xfId="0" applyFill="1"/>
    <xf numFmtId="9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0" fillId="7" borderId="0" xfId="0" applyFill="1" applyAlignment="1">
      <alignment horizontal="right"/>
    </xf>
    <xf numFmtId="0" fontId="0" fillId="7" borderId="0" xfId="0" applyFill="1"/>
    <xf numFmtId="1" fontId="0" fillId="7" borderId="0" xfId="1" applyNumberFormat="1" applyFont="1" applyFill="1" applyAlignment="1">
      <alignment horizontal="center"/>
    </xf>
    <xf numFmtId="1" fontId="0" fillId="7" borderId="0" xfId="0" applyNumberFormat="1" applyFill="1" applyAlignment="1">
      <alignment horizontal="center"/>
    </xf>
    <xf numFmtId="9" fontId="0" fillId="5" borderId="0" xfId="1" applyFont="1" applyFill="1" applyAlignment="1">
      <alignment horizontal="center"/>
    </xf>
    <xf numFmtId="1" fontId="0" fillId="0" borderId="0" xfId="1" applyNumberFormat="1" applyFont="1" applyFill="1" applyAlignment="1">
      <alignment horizontal="center"/>
    </xf>
    <xf numFmtId="0" fontId="0" fillId="4" borderId="0" xfId="0" applyFill="1" applyAlignment="1">
      <alignment horizontal="right"/>
    </xf>
    <xf numFmtId="0" fontId="0" fillId="4" borderId="0" xfId="0" applyFill="1"/>
    <xf numFmtId="1" fontId="0" fillId="4" borderId="0" xfId="1" applyNumberFormat="1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0" fontId="2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0" fillId="4" borderId="0" xfId="0" applyFill="1" applyAlignment="1">
      <alignment horizontal="center"/>
    </xf>
    <xf numFmtId="9" fontId="0" fillId="8" borderId="0" xfId="1" applyFont="1" applyFill="1" applyAlignment="1">
      <alignment horizontal="center"/>
    </xf>
    <xf numFmtId="1" fontId="0" fillId="5" borderId="0" xfId="1" applyNumberFormat="1" applyFont="1" applyFill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9" borderId="0" xfId="0" applyFill="1" applyAlignment="1">
      <alignment horizontal="right"/>
    </xf>
    <xf numFmtId="0" fontId="0" fillId="9" borderId="0" xfId="0" applyFill="1"/>
    <xf numFmtId="1" fontId="0" fillId="9" borderId="0" xfId="0" applyNumberFormat="1" applyFill="1" applyAlignment="1">
      <alignment horizontal="center"/>
    </xf>
    <xf numFmtId="0" fontId="0" fillId="6" borderId="0" xfId="0" applyFill="1" applyAlignment="1">
      <alignment horizontal="right"/>
    </xf>
    <xf numFmtId="0" fontId="0" fillId="6" borderId="0" xfId="0" applyFill="1"/>
    <xf numFmtId="1" fontId="0" fillId="6" borderId="0" xfId="0" applyNumberFormat="1" applyFill="1" applyAlignment="1">
      <alignment horizontal="center"/>
    </xf>
    <xf numFmtId="1" fontId="4" fillId="6" borderId="0" xfId="0" applyNumberFormat="1" applyFont="1" applyFill="1" applyAlignment="1">
      <alignment horizontal="center"/>
    </xf>
    <xf numFmtId="0" fontId="0" fillId="10" borderId="0" xfId="0" applyFill="1" applyAlignment="1">
      <alignment horizontal="right"/>
    </xf>
    <xf numFmtId="0" fontId="0" fillId="10" borderId="0" xfId="0" applyFill="1"/>
    <xf numFmtId="1" fontId="0" fillId="10" borderId="0" xfId="0" applyNumberFormat="1" applyFill="1" applyAlignment="1">
      <alignment horizontal="center"/>
    </xf>
    <xf numFmtId="1" fontId="4" fillId="10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9" fontId="4" fillId="11" borderId="0" xfId="1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1" fontId="2" fillId="10" borderId="0" xfId="0" applyNumberFormat="1" applyFont="1" applyFill="1" applyAlignment="1">
      <alignment horizontal="center" vertical="center" wrapText="1"/>
    </xf>
    <xf numFmtId="9" fontId="4" fillId="0" borderId="0" xfId="1" applyFont="1" applyFill="1" applyAlignment="1">
      <alignment horizontal="center"/>
    </xf>
    <xf numFmtId="9" fontId="0" fillId="0" borderId="0" xfId="1" applyFont="1"/>
    <xf numFmtId="0" fontId="0" fillId="0" borderId="0" xfId="0" applyAlignment="1">
      <alignment horizontal="left"/>
    </xf>
    <xf numFmtId="165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12" borderId="0" xfId="0" applyFill="1" applyAlignment="1">
      <alignment horizontal="left"/>
    </xf>
    <xf numFmtId="9" fontId="4" fillId="4" borderId="0" xfId="1" applyFont="1" applyFill="1" applyAlignment="1">
      <alignment horizontal="center"/>
    </xf>
    <xf numFmtId="1" fontId="4" fillId="1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51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2452802128673E-2"/>
          <c:y val="2.5428331875182269E-2"/>
          <c:w val="0.9161254536904172"/>
          <c:h val="0.89032042869641292"/>
        </c:manualLayout>
      </c:layout>
      <c:lineChart>
        <c:grouping val="standard"/>
        <c:varyColors val="0"/>
        <c:ser>
          <c:idx val="0"/>
          <c:order val="0"/>
          <c:tx>
            <c:strRef>
              <c:f>monthly_concs!$B$5</c:f>
              <c:strCache>
                <c:ptCount val="1"/>
                <c:pt idx="0">
                  <c:v>2006</c:v>
                </c:pt>
              </c:strCache>
            </c:strRef>
          </c:tx>
          <c:spPr>
            <a:ln w="28575" cap="rnd">
              <a:solidFill>
                <a:schemeClr val="accent3">
                  <a:shade val="3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37000"/>
                </a:schemeClr>
              </a:solidFill>
              <a:ln w="9525">
                <a:solidFill>
                  <a:schemeClr val="accent3">
                    <a:shade val="37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monthly_concs!$C$5:$N$5</c:f>
              <c:numCache>
                <c:formatCode>General</c:formatCode>
                <c:ptCount val="12"/>
                <c:pt idx="8">
                  <c:v>74</c:v>
                </c:pt>
                <c:pt idx="9">
                  <c:v>168</c:v>
                </c:pt>
                <c:pt idx="10">
                  <c:v>217</c:v>
                </c:pt>
                <c:pt idx="11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2-4AED-A52C-D78F97BBE969}"/>
            </c:ext>
          </c:extLst>
        </c:ser>
        <c:ser>
          <c:idx val="1"/>
          <c:order val="1"/>
          <c:tx>
            <c:strRef>
              <c:f>monthly_concs!$B$6</c:f>
              <c:strCache>
                <c:ptCount val="1"/>
                <c:pt idx="0">
                  <c:v>2007</c:v>
                </c:pt>
              </c:strCache>
            </c:strRef>
          </c:tx>
          <c:spPr>
            <a:ln w="28575" cap="rnd">
              <a:solidFill>
                <a:schemeClr val="accent3">
                  <a:shade val="43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45000"/>
                </a:schemeClr>
              </a:solidFill>
              <a:ln w="9525">
                <a:solidFill>
                  <a:schemeClr val="accent3">
                    <a:shade val="45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monthly_concs!$C$6:$N$6</c:f>
              <c:numCache>
                <c:formatCode>General</c:formatCode>
                <c:ptCount val="12"/>
                <c:pt idx="0">
                  <c:v>253</c:v>
                </c:pt>
                <c:pt idx="1">
                  <c:v>146</c:v>
                </c:pt>
                <c:pt idx="2">
                  <c:v>88</c:v>
                </c:pt>
                <c:pt idx="3">
                  <c:v>109</c:v>
                </c:pt>
                <c:pt idx="4">
                  <c:v>73</c:v>
                </c:pt>
                <c:pt idx="5">
                  <c:v>89</c:v>
                </c:pt>
                <c:pt idx="6">
                  <c:v>45</c:v>
                </c:pt>
                <c:pt idx="7">
                  <c:v>32</c:v>
                </c:pt>
                <c:pt idx="8">
                  <c:v>52</c:v>
                </c:pt>
                <c:pt idx="9">
                  <c:v>145</c:v>
                </c:pt>
                <c:pt idx="11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2-4AED-A52C-D78F97BBE969}"/>
            </c:ext>
          </c:extLst>
        </c:ser>
        <c:ser>
          <c:idx val="2"/>
          <c:order val="2"/>
          <c:tx>
            <c:strRef>
              <c:f>monthly_concs!$B$7</c:f>
              <c:strCache>
                <c:ptCount val="1"/>
                <c:pt idx="0">
                  <c:v>2008</c:v>
                </c:pt>
              </c:strCache>
            </c:strRef>
          </c:tx>
          <c:spPr>
            <a:ln w="28575" cap="rnd">
              <a:solidFill>
                <a:schemeClr val="accent3">
                  <a:shade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53000"/>
                </a:schemeClr>
              </a:solidFill>
              <a:ln w="9525">
                <a:solidFill>
                  <a:schemeClr val="accent3">
                    <a:shade val="53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monthly_concs!$C$7:$N$7</c:f>
              <c:numCache>
                <c:formatCode>General</c:formatCode>
                <c:ptCount val="12"/>
                <c:pt idx="0">
                  <c:v>156</c:v>
                </c:pt>
                <c:pt idx="1">
                  <c:v>178</c:v>
                </c:pt>
                <c:pt idx="2">
                  <c:v>136</c:v>
                </c:pt>
                <c:pt idx="3">
                  <c:v>90</c:v>
                </c:pt>
                <c:pt idx="4">
                  <c:v>73</c:v>
                </c:pt>
                <c:pt idx="5">
                  <c:v>50</c:v>
                </c:pt>
                <c:pt idx="6">
                  <c:v>51</c:v>
                </c:pt>
                <c:pt idx="7">
                  <c:v>22</c:v>
                </c:pt>
                <c:pt idx="8">
                  <c:v>23</c:v>
                </c:pt>
                <c:pt idx="9">
                  <c:v>174</c:v>
                </c:pt>
                <c:pt idx="10">
                  <c:v>226</c:v>
                </c:pt>
                <c:pt idx="11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22-4AED-A52C-D78F97BBE969}"/>
            </c:ext>
          </c:extLst>
        </c:ser>
        <c:ser>
          <c:idx val="3"/>
          <c:order val="3"/>
          <c:tx>
            <c:strRef>
              <c:f>monthly_concs!$B$8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3">
                  <a:shade val="5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61000"/>
                </a:schemeClr>
              </a:solidFill>
              <a:ln w="9525">
                <a:solidFill>
                  <a:schemeClr val="accent3">
                    <a:shade val="61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monthly_concs!$C$8:$N$8</c:f>
              <c:numCache>
                <c:formatCode>General</c:formatCode>
                <c:ptCount val="12"/>
                <c:pt idx="0">
                  <c:v>145</c:v>
                </c:pt>
                <c:pt idx="1">
                  <c:v>123</c:v>
                </c:pt>
                <c:pt idx="2">
                  <c:v>91</c:v>
                </c:pt>
                <c:pt idx="3">
                  <c:v>68</c:v>
                </c:pt>
                <c:pt idx="4">
                  <c:v>65</c:v>
                </c:pt>
                <c:pt idx="5">
                  <c:v>73</c:v>
                </c:pt>
                <c:pt idx="6">
                  <c:v>55</c:v>
                </c:pt>
                <c:pt idx="7">
                  <c:v>43</c:v>
                </c:pt>
                <c:pt idx="8">
                  <c:v>37</c:v>
                </c:pt>
                <c:pt idx="9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22-4AED-A52C-D78F97BBE969}"/>
            </c:ext>
          </c:extLst>
        </c:ser>
        <c:ser>
          <c:idx val="4"/>
          <c:order val="4"/>
          <c:tx>
            <c:strRef>
              <c:f>monthly_concs!$B$9</c:f>
              <c:strCache>
                <c:ptCount val="1"/>
                <c:pt idx="0">
                  <c:v>2010</c:v>
                </c:pt>
              </c:strCache>
            </c:strRef>
          </c:tx>
          <c:spPr>
            <a:ln w="508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68000"/>
                </a:schemeClr>
              </a:solidFill>
              <a:ln w="9525">
                <a:solidFill>
                  <a:schemeClr val="accent3">
                    <a:shade val="68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monthly_concs!$C$9:$N$9</c:f>
              <c:numCache>
                <c:formatCode>General</c:formatCode>
                <c:ptCount val="12"/>
                <c:pt idx="1">
                  <c:v>69</c:v>
                </c:pt>
                <c:pt idx="2">
                  <c:v>116</c:v>
                </c:pt>
                <c:pt idx="3">
                  <c:v>82</c:v>
                </c:pt>
                <c:pt idx="4">
                  <c:v>115</c:v>
                </c:pt>
                <c:pt idx="5">
                  <c:v>117</c:v>
                </c:pt>
                <c:pt idx="6">
                  <c:v>61</c:v>
                </c:pt>
                <c:pt idx="7">
                  <c:v>60</c:v>
                </c:pt>
                <c:pt idx="8">
                  <c:v>65</c:v>
                </c:pt>
                <c:pt idx="9">
                  <c:v>187</c:v>
                </c:pt>
                <c:pt idx="10">
                  <c:v>292</c:v>
                </c:pt>
                <c:pt idx="11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22-4AED-A52C-D78F97BBE969}"/>
            </c:ext>
          </c:extLst>
        </c:ser>
        <c:ser>
          <c:idx val="5"/>
          <c:order val="5"/>
          <c:tx>
            <c:strRef>
              <c:f>monthly_concs!$B$10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>
                  <a:shade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76000"/>
                </a:schemeClr>
              </a:solidFill>
              <a:ln w="9525">
                <a:solidFill>
                  <a:schemeClr val="accent3">
                    <a:shade val="76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monthly_concs!$C$10:$N$10</c:f>
              <c:numCache>
                <c:formatCode>General</c:formatCode>
                <c:ptCount val="12"/>
                <c:pt idx="0">
                  <c:v>217</c:v>
                </c:pt>
                <c:pt idx="1">
                  <c:v>161</c:v>
                </c:pt>
                <c:pt idx="2">
                  <c:v>123</c:v>
                </c:pt>
                <c:pt idx="3">
                  <c:v>127</c:v>
                </c:pt>
                <c:pt idx="4">
                  <c:v>98</c:v>
                </c:pt>
                <c:pt idx="5">
                  <c:v>70</c:v>
                </c:pt>
                <c:pt idx="6">
                  <c:v>69</c:v>
                </c:pt>
                <c:pt idx="7">
                  <c:v>53</c:v>
                </c:pt>
                <c:pt idx="8">
                  <c:v>61</c:v>
                </c:pt>
                <c:pt idx="9">
                  <c:v>164</c:v>
                </c:pt>
                <c:pt idx="10">
                  <c:v>258</c:v>
                </c:pt>
                <c:pt idx="11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22-4AED-A52C-D78F97BBE969}"/>
            </c:ext>
          </c:extLst>
        </c:ser>
        <c:ser>
          <c:idx val="6"/>
          <c:order val="6"/>
          <c:tx>
            <c:strRef>
              <c:f>monthly_concs!$B$11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3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84000"/>
                </a:schemeClr>
              </a:solidFill>
              <a:ln w="9525">
                <a:solidFill>
                  <a:schemeClr val="accent3">
                    <a:shade val="84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monthly_concs!$C$11:$N$11</c:f>
              <c:numCache>
                <c:formatCode>General</c:formatCode>
                <c:ptCount val="12"/>
                <c:pt idx="0">
                  <c:v>205</c:v>
                </c:pt>
                <c:pt idx="1">
                  <c:v>141</c:v>
                </c:pt>
                <c:pt idx="2">
                  <c:v>139</c:v>
                </c:pt>
                <c:pt idx="3">
                  <c:v>101</c:v>
                </c:pt>
                <c:pt idx="4">
                  <c:v>122</c:v>
                </c:pt>
                <c:pt idx="6">
                  <c:v>69</c:v>
                </c:pt>
                <c:pt idx="7">
                  <c:v>58</c:v>
                </c:pt>
                <c:pt idx="8">
                  <c:v>70</c:v>
                </c:pt>
                <c:pt idx="9">
                  <c:v>147</c:v>
                </c:pt>
                <c:pt idx="10">
                  <c:v>263</c:v>
                </c:pt>
                <c:pt idx="11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822-4AED-A52C-D78F97BBE969}"/>
            </c:ext>
          </c:extLst>
        </c:ser>
        <c:ser>
          <c:idx val="7"/>
          <c:order val="7"/>
          <c:tx>
            <c:strRef>
              <c:f>monthly_concs!$B$12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92000"/>
                </a:schemeClr>
              </a:solidFill>
              <a:ln w="9525">
                <a:solidFill>
                  <a:schemeClr val="accent3">
                    <a:shade val="92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monthly_concs!$C$12:$N$12</c:f>
              <c:numCache>
                <c:formatCode>General</c:formatCode>
                <c:ptCount val="12"/>
                <c:pt idx="0">
                  <c:v>190</c:v>
                </c:pt>
                <c:pt idx="1">
                  <c:v>128</c:v>
                </c:pt>
                <c:pt idx="2">
                  <c:v>148</c:v>
                </c:pt>
                <c:pt idx="3">
                  <c:v>105</c:v>
                </c:pt>
                <c:pt idx="4">
                  <c:v>129</c:v>
                </c:pt>
                <c:pt idx="5">
                  <c:v>126</c:v>
                </c:pt>
                <c:pt idx="6">
                  <c:v>66</c:v>
                </c:pt>
                <c:pt idx="7">
                  <c:v>85</c:v>
                </c:pt>
                <c:pt idx="8">
                  <c:v>95</c:v>
                </c:pt>
                <c:pt idx="9">
                  <c:v>145</c:v>
                </c:pt>
                <c:pt idx="10">
                  <c:v>212</c:v>
                </c:pt>
                <c:pt idx="11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822-4AED-A52C-D78F97BBE969}"/>
            </c:ext>
          </c:extLst>
        </c:ser>
        <c:ser>
          <c:idx val="8"/>
          <c:order val="8"/>
          <c:tx>
            <c:strRef>
              <c:f>monthly_concs!$B$13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3">
                  <a:shade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monthly_concs!$C$13:$N$13</c:f>
              <c:numCache>
                <c:formatCode>General</c:formatCode>
                <c:ptCount val="12"/>
                <c:pt idx="0">
                  <c:v>193</c:v>
                </c:pt>
                <c:pt idx="1">
                  <c:v>123</c:v>
                </c:pt>
                <c:pt idx="2">
                  <c:v>69</c:v>
                </c:pt>
                <c:pt idx="3">
                  <c:v>98</c:v>
                </c:pt>
                <c:pt idx="4">
                  <c:v>120</c:v>
                </c:pt>
                <c:pt idx="5">
                  <c:v>137</c:v>
                </c:pt>
                <c:pt idx="6">
                  <c:v>114</c:v>
                </c:pt>
                <c:pt idx="7">
                  <c:v>87</c:v>
                </c:pt>
                <c:pt idx="8">
                  <c:v>74</c:v>
                </c:pt>
                <c:pt idx="9">
                  <c:v>137</c:v>
                </c:pt>
                <c:pt idx="10">
                  <c:v>166</c:v>
                </c:pt>
                <c:pt idx="11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22-4AED-A52C-D78F97BBE969}"/>
            </c:ext>
          </c:extLst>
        </c:ser>
        <c:ser>
          <c:idx val="9"/>
          <c:order val="9"/>
          <c:tx>
            <c:strRef>
              <c:f>monthly_concs!$B$14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3">
                  <a:shade val="9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93000"/>
                </a:schemeClr>
              </a:solidFill>
              <a:ln w="9525">
                <a:solidFill>
                  <a:schemeClr val="accent3">
                    <a:tint val="93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monthly_concs!$C$14:$N$14</c:f>
              <c:numCache>
                <c:formatCode>General</c:formatCode>
                <c:ptCount val="12"/>
                <c:pt idx="0">
                  <c:v>179</c:v>
                </c:pt>
                <c:pt idx="1">
                  <c:v>124</c:v>
                </c:pt>
                <c:pt idx="2">
                  <c:v>96</c:v>
                </c:pt>
                <c:pt idx="3">
                  <c:v>101</c:v>
                </c:pt>
                <c:pt idx="4">
                  <c:v>120</c:v>
                </c:pt>
                <c:pt idx="5">
                  <c:v>97</c:v>
                </c:pt>
                <c:pt idx="6">
                  <c:v>67</c:v>
                </c:pt>
                <c:pt idx="7">
                  <c:v>58</c:v>
                </c:pt>
                <c:pt idx="8">
                  <c:v>90</c:v>
                </c:pt>
                <c:pt idx="9">
                  <c:v>153</c:v>
                </c:pt>
                <c:pt idx="10">
                  <c:v>243</c:v>
                </c:pt>
                <c:pt idx="11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822-4AED-A52C-D78F97BBE969}"/>
            </c:ext>
          </c:extLst>
        </c:ser>
        <c:ser>
          <c:idx val="10"/>
          <c:order val="10"/>
          <c:tx>
            <c:strRef>
              <c:f>monthly_concs!$B$15</c:f>
              <c:strCache>
                <c:ptCount val="1"/>
                <c:pt idx="0">
                  <c:v>2016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85000"/>
                </a:schemeClr>
              </a:solidFill>
              <a:ln w="9525">
                <a:solidFill>
                  <a:schemeClr val="accent3">
                    <a:tint val="85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monthly_concs!$C$15:$N$15</c:f>
              <c:numCache>
                <c:formatCode>General</c:formatCode>
                <c:ptCount val="12"/>
                <c:pt idx="0">
                  <c:v>249</c:v>
                </c:pt>
                <c:pt idx="1">
                  <c:v>151</c:v>
                </c:pt>
                <c:pt idx="2">
                  <c:v>126</c:v>
                </c:pt>
                <c:pt idx="3">
                  <c:v>120</c:v>
                </c:pt>
                <c:pt idx="4">
                  <c:v>92</c:v>
                </c:pt>
                <c:pt idx="5">
                  <c:v>73</c:v>
                </c:pt>
                <c:pt idx="6">
                  <c:v>56</c:v>
                </c:pt>
                <c:pt idx="7">
                  <c:v>42</c:v>
                </c:pt>
                <c:pt idx="8">
                  <c:v>61</c:v>
                </c:pt>
                <c:pt idx="9">
                  <c:v>152</c:v>
                </c:pt>
                <c:pt idx="10">
                  <c:v>258</c:v>
                </c:pt>
                <c:pt idx="11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822-4AED-A52C-D78F97BBE969}"/>
            </c:ext>
          </c:extLst>
        </c:ser>
        <c:ser>
          <c:idx val="11"/>
          <c:order val="11"/>
          <c:tx>
            <c:strRef>
              <c:f>monthly_concs!$B$16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3">
                  <a:tint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77000"/>
                </a:schemeClr>
              </a:solidFill>
              <a:ln w="9525">
                <a:solidFill>
                  <a:schemeClr val="accent3">
                    <a:tint val="77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monthly_concs!$C$16:$N$16</c:f>
              <c:numCache>
                <c:formatCode>General</c:formatCode>
                <c:ptCount val="12"/>
                <c:pt idx="0">
                  <c:v>164</c:v>
                </c:pt>
                <c:pt idx="1">
                  <c:v>134</c:v>
                </c:pt>
                <c:pt idx="2">
                  <c:v>96</c:v>
                </c:pt>
                <c:pt idx="3">
                  <c:v>96</c:v>
                </c:pt>
                <c:pt idx="4">
                  <c:v>122</c:v>
                </c:pt>
                <c:pt idx="5">
                  <c:v>60</c:v>
                </c:pt>
                <c:pt idx="6">
                  <c:v>36</c:v>
                </c:pt>
                <c:pt idx="7">
                  <c:v>37</c:v>
                </c:pt>
                <c:pt idx="8">
                  <c:v>58</c:v>
                </c:pt>
                <c:pt idx="9">
                  <c:v>135</c:v>
                </c:pt>
                <c:pt idx="10">
                  <c:v>268</c:v>
                </c:pt>
                <c:pt idx="11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822-4AED-A52C-D78F97BBE969}"/>
            </c:ext>
          </c:extLst>
        </c:ser>
        <c:ser>
          <c:idx val="12"/>
          <c:order val="12"/>
          <c:tx>
            <c:strRef>
              <c:f>monthly_concs!$B$17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>
                  <a:tint val="8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69000"/>
                </a:schemeClr>
              </a:solidFill>
              <a:ln w="9525">
                <a:solidFill>
                  <a:schemeClr val="accent3">
                    <a:tint val="69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monthly_concs!$C$17:$N$17</c:f>
              <c:numCache>
                <c:formatCode>General</c:formatCode>
                <c:ptCount val="12"/>
                <c:pt idx="0">
                  <c:v>205</c:v>
                </c:pt>
                <c:pt idx="1">
                  <c:v>143</c:v>
                </c:pt>
                <c:pt idx="2">
                  <c:v>104</c:v>
                </c:pt>
                <c:pt idx="3">
                  <c:v>94</c:v>
                </c:pt>
                <c:pt idx="4">
                  <c:v>95</c:v>
                </c:pt>
                <c:pt idx="5">
                  <c:v>86</c:v>
                </c:pt>
                <c:pt idx="6">
                  <c:v>42</c:v>
                </c:pt>
                <c:pt idx="7">
                  <c:v>43</c:v>
                </c:pt>
                <c:pt idx="8">
                  <c:v>45</c:v>
                </c:pt>
                <c:pt idx="9">
                  <c:v>139</c:v>
                </c:pt>
                <c:pt idx="10">
                  <c:v>209</c:v>
                </c:pt>
                <c:pt idx="11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822-4AED-A52C-D78F97BBE969}"/>
            </c:ext>
          </c:extLst>
        </c:ser>
        <c:ser>
          <c:idx val="13"/>
          <c:order val="13"/>
          <c:tx>
            <c:strRef>
              <c:f>monthly_concs!$B$18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62000"/>
                </a:schemeClr>
              </a:solidFill>
              <a:ln w="9525">
                <a:solidFill>
                  <a:schemeClr val="accent3">
                    <a:tint val="62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monthly_concs!$C$18:$N$18</c:f>
              <c:numCache>
                <c:formatCode>General</c:formatCode>
                <c:ptCount val="12"/>
                <c:pt idx="0">
                  <c:v>190</c:v>
                </c:pt>
                <c:pt idx="1">
                  <c:v>123</c:v>
                </c:pt>
                <c:pt idx="2">
                  <c:v>83</c:v>
                </c:pt>
                <c:pt idx="3">
                  <c:v>81</c:v>
                </c:pt>
                <c:pt idx="4">
                  <c:v>88</c:v>
                </c:pt>
                <c:pt idx="5">
                  <c:v>63</c:v>
                </c:pt>
                <c:pt idx="6">
                  <c:v>46</c:v>
                </c:pt>
                <c:pt idx="7">
                  <c:v>34</c:v>
                </c:pt>
                <c:pt idx="8">
                  <c:v>39</c:v>
                </c:pt>
                <c:pt idx="9">
                  <c:v>114</c:v>
                </c:pt>
                <c:pt idx="10">
                  <c:v>187</c:v>
                </c:pt>
                <c:pt idx="11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822-4AED-A52C-D78F97BBE969}"/>
            </c:ext>
          </c:extLst>
        </c:ser>
        <c:ser>
          <c:idx val="14"/>
          <c:order val="14"/>
          <c:tx>
            <c:strRef>
              <c:f>monthly_concs!$B$19</c:f>
              <c:strCache>
                <c:ptCount val="1"/>
                <c:pt idx="0">
                  <c:v>2020</c:v>
                </c:pt>
              </c:strCache>
            </c:strRef>
          </c:tx>
          <c:spPr>
            <a:ln w="508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54000"/>
                </a:schemeClr>
              </a:solidFill>
              <a:ln w="9525">
                <a:solidFill>
                  <a:schemeClr val="accent3">
                    <a:tint val="54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monthly_concs!$C$19:$N$19</c:f>
              <c:numCache>
                <c:formatCode>General</c:formatCode>
                <c:ptCount val="12"/>
                <c:pt idx="0">
                  <c:v>148</c:v>
                </c:pt>
                <c:pt idx="1">
                  <c:v>120</c:v>
                </c:pt>
                <c:pt idx="2">
                  <c:v>57</c:v>
                </c:pt>
                <c:pt idx="3">
                  <c:v>44</c:v>
                </c:pt>
                <c:pt idx="4">
                  <c:v>54</c:v>
                </c:pt>
                <c:pt idx="5">
                  <c:v>46</c:v>
                </c:pt>
                <c:pt idx="6">
                  <c:v>34</c:v>
                </c:pt>
                <c:pt idx="7">
                  <c:v>24</c:v>
                </c:pt>
                <c:pt idx="8">
                  <c:v>47</c:v>
                </c:pt>
                <c:pt idx="9">
                  <c:v>132</c:v>
                </c:pt>
                <c:pt idx="10">
                  <c:v>199</c:v>
                </c:pt>
                <c:pt idx="11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822-4AED-A52C-D78F97BBE969}"/>
            </c:ext>
          </c:extLst>
        </c:ser>
        <c:ser>
          <c:idx val="15"/>
          <c:order val="15"/>
          <c:tx>
            <c:strRef>
              <c:f>monthly_concs!$B$20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>
                  <a:tint val="6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46000"/>
                </a:schemeClr>
              </a:solidFill>
              <a:ln w="9525">
                <a:solidFill>
                  <a:schemeClr val="accent3">
                    <a:tint val="46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monthly_concs!$C$20:$N$20</c:f>
              <c:numCache>
                <c:formatCode>General</c:formatCode>
                <c:ptCount val="12"/>
                <c:pt idx="0">
                  <c:v>187</c:v>
                </c:pt>
                <c:pt idx="1">
                  <c:v>150</c:v>
                </c:pt>
                <c:pt idx="2">
                  <c:v>96</c:v>
                </c:pt>
                <c:pt idx="3">
                  <c:v>86</c:v>
                </c:pt>
                <c:pt idx="4">
                  <c:v>53</c:v>
                </c:pt>
                <c:pt idx="5">
                  <c:v>53</c:v>
                </c:pt>
                <c:pt idx="6">
                  <c:v>39</c:v>
                </c:pt>
                <c:pt idx="7">
                  <c:v>41</c:v>
                </c:pt>
                <c:pt idx="8">
                  <c:v>32</c:v>
                </c:pt>
                <c:pt idx="9">
                  <c:v>74</c:v>
                </c:pt>
                <c:pt idx="10">
                  <c:v>230</c:v>
                </c:pt>
                <c:pt idx="11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822-4AED-A52C-D78F97BBE969}"/>
            </c:ext>
          </c:extLst>
        </c:ser>
        <c:ser>
          <c:idx val="16"/>
          <c:order val="16"/>
          <c:tx>
            <c:strRef>
              <c:f>monthly_concs!$B$21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>
                  <a:tint val="5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38000"/>
                </a:schemeClr>
              </a:solidFill>
              <a:ln w="9525">
                <a:solidFill>
                  <a:schemeClr val="accent3">
                    <a:tint val="38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monthly_concs!$C$21:$N$21</c:f>
              <c:numCache>
                <c:formatCode>General</c:formatCode>
                <c:ptCount val="12"/>
                <c:pt idx="0">
                  <c:v>150</c:v>
                </c:pt>
                <c:pt idx="1">
                  <c:v>103</c:v>
                </c:pt>
                <c:pt idx="2">
                  <c:v>98</c:v>
                </c:pt>
                <c:pt idx="3">
                  <c:v>106</c:v>
                </c:pt>
                <c:pt idx="4">
                  <c:v>78</c:v>
                </c:pt>
                <c:pt idx="5">
                  <c:v>62</c:v>
                </c:pt>
                <c:pt idx="6">
                  <c:v>35</c:v>
                </c:pt>
                <c:pt idx="7">
                  <c:v>32</c:v>
                </c:pt>
                <c:pt idx="8">
                  <c:v>40</c:v>
                </c:pt>
                <c:pt idx="9">
                  <c:v>106</c:v>
                </c:pt>
                <c:pt idx="10">
                  <c:v>178</c:v>
                </c:pt>
                <c:pt idx="11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822-4AED-A52C-D78F97BBE969}"/>
            </c:ext>
          </c:extLst>
        </c:ser>
        <c:ser>
          <c:idx val="17"/>
          <c:order val="17"/>
          <c:tx>
            <c:strRef>
              <c:f>monthly_concs!$B$22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44000"/>
                </a:schemeClr>
              </a:solidFill>
              <a:ln w="9525">
                <a:solidFill>
                  <a:schemeClr val="accent3">
                    <a:tint val="44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monthly_concs!$C$22:$N$22</c:f>
              <c:numCache>
                <c:formatCode>0</c:formatCode>
                <c:ptCount val="12"/>
                <c:pt idx="0">
                  <c:v>175.232899</c:v>
                </c:pt>
                <c:pt idx="1">
                  <c:v>114.38470599999999</c:v>
                </c:pt>
                <c:pt idx="2">
                  <c:v>77.732664150000005</c:v>
                </c:pt>
                <c:pt idx="3">
                  <c:v>66.088810510000002</c:v>
                </c:pt>
                <c:pt idx="4">
                  <c:v>65.126872370000001</c:v>
                </c:pt>
                <c:pt idx="5">
                  <c:v>45.505431629999997</c:v>
                </c:pt>
                <c:pt idx="6">
                  <c:v>33.918681990000003</c:v>
                </c:pt>
                <c:pt idx="7">
                  <c:v>38.310519730000003</c:v>
                </c:pt>
                <c:pt idx="8">
                  <c:v>42.982746040000002</c:v>
                </c:pt>
                <c:pt idx="9">
                  <c:v>104.86342569999999</c:v>
                </c:pt>
                <c:pt idx="10">
                  <c:v>241.8764425</c:v>
                </c:pt>
                <c:pt idx="11">
                  <c:v>200.45894530000001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3-4CB2-B5CE-38BDA5009735}"/>
            </c:ext>
          </c:extLst>
        </c:ser>
        <c:ser>
          <c:idx val="18"/>
          <c:order val="18"/>
          <c:tx>
            <c:strRef>
              <c:f>monthly_concs!$B$23</c:f>
              <c:strCache>
                <c:ptCount val="1"/>
                <c:pt idx="0">
                  <c:v>2024</c:v>
                </c:pt>
              </c:strCache>
            </c:strRef>
          </c:tx>
          <c:spPr>
            <a:ln w="508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37000"/>
                </a:schemeClr>
              </a:solidFill>
              <a:ln w="9525">
                <a:solidFill>
                  <a:schemeClr val="accent3">
                    <a:tint val="37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monthly_concs!$C$23:$N$23</c:f>
              <c:numCache>
                <c:formatCode>0</c:formatCode>
                <c:ptCount val="12"/>
                <c:pt idx="0">
                  <c:v>202.8046401</c:v>
                </c:pt>
                <c:pt idx="1">
                  <c:v>104.4008211</c:v>
                </c:pt>
                <c:pt idx="2">
                  <c:v>77.610635479999999</c:v>
                </c:pt>
                <c:pt idx="3">
                  <c:v>70.286510210000003</c:v>
                </c:pt>
                <c:pt idx="4">
                  <c:v>89.38746956</c:v>
                </c:pt>
                <c:pt idx="5">
                  <c:v>59.021960559999997</c:v>
                </c:pt>
                <c:pt idx="6">
                  <c:v>39.683514989999999</c:v>
                </c:pt>
                <c:pt idx="7">
                  <c:v>27.38174871</c:v>
                </c:pt>
                <c:pt idx="8">
                  <c:v>42.968383609999997</c:v>
                </c:pt>
                <c:pt idx="9">
                  <c:v>109.96127730000001</c:v>
                </c:pt>
                <c:pt idx="10">
                  <c:v>225.286923</c:v>
                </c:pt>
                <c:pt idx="11">
                  <c:v>164.06165480000001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3-4CB2-B5CE-38BDA5009735}"/>
            </c:ext>
          </c:extLst>
        </c:ser>
        <c:ser>
          <c:idx val="19"/>
          <c:order val="19"/>
          <c:tx>
            <c:strRef>
              <c:f>monthly_concs!$B$24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>
                  <a:tint val="3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37000"/>
                </a:schemeClr>
              </a:solidFill>
              <a:ln w="9525">
                <a:solidFill>
                  <a:schemeClr val="accent3">
                    <a:tint val="37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monthly_concs!$C$24:$N$24</c:f>
              <c:numCache>
                <c:formatCode>0</c:formatCode>
                <c:ptCount val="12"/>
                <c:pt idx="0">
                  <c:v>162.045101104069</c:v>
                </c:pt>
                <c:pt idx="1">
                  <c:v>97.001005396694197</c:v>
                </c:pt>
                <c:pt idx="2">
                  <c:v>70.493896538944597</c:v>
                </c:pt>
                <c:pt idx="3">
                  <c:v>76.625733817257597</c:v>
                </c:pt>
                <c:pt idx="4">
                  <c:v>65.869472784596297</c:v>
                </c:pt>
                <c:pt idx="5">
                  <c:v>49.875810691592697</c:v>
                </c:pt>
                <c:pt idx="6">
                  <c:v>29.578822710000001</c:v>
                </c:pt>
                <c:pt idx="7">
                  <c:v>32.817674310000001</c:v>
                </c:pt>
                <c:pt idx="8">
                  <c:v>35.624257780000001</c:v>
                </c:pt>
                <c:pt idx="9">
                  <c:v>102.8824297</c:v>
                </c:pt>
                <c:pt idx="10">
                  <c:v>220.2200273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D-42CC-967B-C16D37408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884383"/>
        <c:axId val="1284884863"/>
      </c:lineChart>
      <c:catAx>
        <c:axId val="1284884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84863"/>
        <c:crosses val="autoZero"/>
        <c:auto val="1"/>
        <c:lblAlgn val="ctr"/>
        <c:lblOffset val="100"/>
        <c:noMultiLvlLbl val="0"/>
      </c:catAx>
      <c:valAx>
        <c:axId val="1284884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/>
                  <a:t>PM</a:t>
                </a:r>
                <a:r>
                  <a:rPr lang="en-IN" sz="1400" baseline="-25000"/>
                  <a:t>2.5</a:t>
                </a:r>
                <a:r>
                  <a:rPr lang="en-IN" sz="1400" baseline="0"/>
                  <a:t> Concentrations (</a:t>
                </a:r>
                <a:r>
                  <a:rPr lang="en-IN" sz="1400" baseline="0">
                    <a:latin typeface="Symbol" panose="05050102010706020507" pitchFamily="18" charset="2"/>
                  </a:rPr>
                  <a:t>m</a:t>
                </a:r>
                <a:r>
                  <a:rPr lang="en-IN" sz="1400" baseline="0"/>
                  <a:t>g/m</a:t>
                </a:r>
                <a:r>
                  <a:rPr lang="en-IN" sz="1400" baseline="30000"/>
                  <a:t>3</a:t>
                </a:r>
                <a:r>
                  <a:rPr lang="en-IN" sz="1400" baseline="0"/>
                  <a:t>)</a:t>
                </a:r>
                <a:endParaRPr lang="en-IN" sz="1400"/>
              </a:p>
            </c:rich>
          </c:tx>
          <c:layout>
            <c:manualLayout>
              <c:xMode val="edge"/>
              <c:yMode val="edge"/>
              <c:x val="9.9533547969597215E-3"/>
              <c:y val="7.14675353463314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I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8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7929479146293449E-2"/>
          <c:y val="8.3333333333333329E-2"/>
          <c:w val="0.66845530219901683"/>
          <c:h val="0.18089740006489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4"/>
          <c:order val="2"/>
          <c:tx>
            <c:strRef>
              <c:f>'ncap-delay'!$AD$12</c:f>
              <c:strCache>
                <c:ptCount val="1"/>
                <c:pt idx="0">
                  <c:v>PM25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  <a:alpha val="48000"/>
              </a:schemeClr>
            </a:solidFill>
            <a:ln>
              <a:noFill/>
            </a:ln>
            <a:effectLst/>
          </c:spPr>
          <c:cat>
            <c:numRef>
              <c:f>'ncap-delay'!$Y$13:$Y$38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'ncap-delay'!$AD$13:$AD$38</c:f>
              <c:numCache>
                <c:formatCode>General</c:formatCode>
                <c:ptCount val="26"/>
                <c:pt idx="10" formatCode="0">
                  <c:v>100</c:v>
                </c:pt>
                <c:pt idx="11" formatCode="0">
                  <c:v>102.39430090009294</c:v>
                </c:pt>
                <c:pt idx="12" formatCode="0">
                  <c:v>103.78860180018589</c:v>
                </c:pt>
                <c:pt idx="13" formatCode="0">
                  <c:v>105.18290270027883</c:v>
                </c:pt>
                <c:pt idx="14" formatCode="0">
                  <c:v>106.57720360037177</c:v>
                </c:pt>
                <c:pt idx="15" formatCode="0">
                  <c:v>107.97150450046472</c:v>
                </c:pt>
                <c:pt idx="16" formatCode="0">
                  <c:v>109.36580540055766</c:v>
                </c:pt>
                <c:pt idx="17" formatCode="0">
                  <c:v>110.76010630065061</c:v>
                </c:pt>
                <c:pt idx="18" formatCode="0">
                  <c:v>112.15440720074355</c:v>
                </c:pt>
                <c:pt idx="19" formatCode="0">
                  <c:v>113.54870810083649</c:v>
                </c:pt>
                <c:pt idx="20" formatCode="0">
                  <c:v>114.94300900092944</c:v>
                </c:pt>
                <c:pt idx="21" formatCode="0">
                  <c:v>116.33730990102238</c:v>
                </c:pt>
                <c:pt idx="22" formatCode="0">
                  <c:v>117.73161080111532</c:v>
                </c:pt>
                <c:pt idx="23" formatCode="0">
                  <c:v>119.12591170120827</c:v>
                </c:pt>
                <c:pt idx="24" formatCode="0">
                  <c:v>120.52021260130121</c:v>
                </c:pt>
                <c:pt idx="25" formatCode="0">
                  <c:v>121.91451350139415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2-4D28-938E-3D9D88C2D8E5}"/>
            </c:ext>
          </c:extLst>
        </c:ser>
        <c:ser>
          <c:idx val="3"/>
          <c:order val="3"/>
          <c:tx>
            <c:strRef>
              <c:f>'ncap-delay'!$AC$12</c:f>
              <c:strCache>
                <c:ptCount val="1"/>
                <c:pt idx="0">
                  <c:v>PM25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'ncap-delay'!$Y$13:$Y$38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'ncap-delay'!$AC$13:$AC$38</c:f>
              <c:numCache>
                <c:formatCode>General</c:formatCode>
                <c:ptCount val="26"/>
                <c:pt idx="10" formatCode="0">
                  <c:v>100</c:v>
                </c:pt>
                <c:pt idx="11" formatCode="0">
                  <c:v>99</c:v>
                </c:pt>
                <c:pt idx="12" formatCode="0">
                  <c:v>98.330909705536357</c:v>
                </c:pt>
                <c:pt idx="13" formatCode="0">
                  <c:v>96.996364558304535</c:v>
                </c:pt>
                <c:pt idx="14" formatCode="0">
                  <c:v>95.661819411072713</c:v>
                </c:pt>
                <c:pt idx="15" formatCode="0">
                  <c:v>94.327274263840891</c:v>
                </c:pt>
                <c:pt idx="16" formatCode="0">
                  <c:v>92.99272911660907</c:v>
                </c:pt>
                <c:pt idx="17" formatCode="0">
                  <c:v>91.658183969377248</c:v>
                </c:pt>
                <c:pt idx="18" formatCode="0">
                  <c:v>90.323638822145426</c:v>
                </c:pt>
                <c:pt idx="19" formatCode="0">
                  <c:v>88.989093674913605</c:v>
                </c:pt>
                <c:pt idx="20" formatCode="0">
                  <c:v>87.654548527681783</c:v>
                </c:pt>
                <c:pt idx="21" formatCode="0">
                  <c:v>86.320003380449961</c:v>
                </c:pt>
                <c:pt idx="22" formatCode="0">
                  <c:v>84.985458233218139</c:v>
                </c:pt>
                <c:pt idx="23" formatCode="0">
                  <c:v>83.650913085986318</c:v>
                </c:pt>
                <c:pt idx="24" formatCode="0">
                  <c:v>82.316367938754496</c:v>
                </c:pt>
                <c:pt idx="25" formatCode="0">
                  <c:v>80.981822791522674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02-4D28-938E-3D9D88C2D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015535"/>
        <c:axId val="1432014575"/>
      </c:areaChart>
      <c:lineChart>
        <c:grouping val="standard"/>
        <c:varyColors val="0"/>
        <c:ser>
          <c:idx val="0"/>
          <c:order val="0"/>
          <c:tx>
            <c:strRef>
              <c:f>'ncap-delay'!$Z$12</c:f>
              <c:strCache>
                <c:ptCount val="1"/>
                <c:pt idx="0">
                  <c:v>PM25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numRef>
              <c:f>'ncap-delay'!$Y$13:$Y$38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'ncap-delay'!$Z$13:$Z$38</c:f>
              <c:numCache>
                <c:formatCode>0</c:formatCode>
                <c:ptCount val="26"/>
                <c:pt idx="0">
                  <c:v>125.3</c:v>
                </c:pt>
                <c:pt idx="1">
                  <c:v>133.30000000000001</c:v>
                </c:pt>
                <c:pt idx="2">
                  <c:v>117.2</c:v>
                </c:pt>
                <c:pt idx="3">
                  <c:v>120</c:v>
                </c:pt>
                <c:pt idx="4">
                  <c:v>105</c:v>
                </c:pt>
                <c:pt idx="5">
                  <c:v>93</c:v>
                </c:pt>
                <c:pt idx="6">
                  <c:v>106</c:v>
                </c:pt>
                <c:pt idx="7">
                  <c:v>99.7</c:v>
                </c:pt>
                <c:pt idx="8">
                  <c:v>103.34622349999999</c:v>
                </c:pt>
                <c:pt idx="9">
                  <c:v>101.563939</c:v>
                </c:pt>
                <c:pt idx="1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02-4D28-938E-3D9D88C2D8E5}"/>
            </c:ext>
          </c:extLst>
        </c:ser>
        <c:ser>
          <c:idx val="1"/>
          <c:order val="1"/>
          <c:tx>
            <c:strRef>
              <c:f>'ncap-delay'!$AA$12</c:f>
              <c:strCache>
                <c:ptCount val="1"/>
                <c:pt idx="0">
                  <c:v>PM25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numRef>
              <c:f>'ncap-delay'!$Y$13:$Y$38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'ncap-delay'!$AA$13:$AA$38</c:f>
              <c:numCache>
                <c:formatCode>General</c:formatCode>
                <c:ptCount val="26"/>
                <c:pt idx="4">
                  <c:v>100</c:v>
                </c:pt>
                <c:pt idx="5" formatCode="0">
                  <c:v>98.443971127083628</c:v>
                </c:pt>
                <c:pt idx="6" formatCode="0">
                  <c:v>96.378722558391729</c:v>
                </c:pt>
                <c:pt idx="7" formatCode="0">
                  <c:v>93.86422586599376</c:v>
                </c:pt>
                <c:pt idx="8" formatCode="0">
                  <c:v>90.960452621959206</c:v>
                </c:pt>
                <c:pt idx="9" formatCode="0">
                  <c:v>87.72737439835754</c:v>
                </c:pt>
                <c:pt idx="10" formatCode="0">
                  <c:v>84.224962767258233</c:v>
                </c:pt>
                <c:pt idx="11" formatCode="0">
                  <c:v>80.513189300730758</c:v>
                </c:pt>
                <c:pt idx="12" formatCode="0">
                  <c:v>76.652025570844586</c:v>
                </c:pt>
                <c:pt idx="13" formatCode="0">
                  <c:v>72.701443149669217</c:v>
                </c:pt>
                <c:pt idx="14" formatCode="0">
                  <c:v>68.72141360927408</c:v>
                </c:pt>
                <c:pt idx="15" formatCode="0">
                  <c:v>64.771908521728676</c:v>
                </c:pt>
                <c:pt idx="16" formatCode="0">
                  <c:v>60.912899459102498</c:v>
                </c:pt>
                <c:pt idx="17" formatCode="0">
                  <c:v>57.204357993464988</c:v>
                </c:pt>
                <c:pt idx="18" formatCode="0">
                  <c:v>53.706255696885641</c:v>
                </c:pt>
                <c:pt idx="19" formatCode="0">
                  <c:v>50.478564141433921</c:v>
                </c:pt>
                <c:pt idx="20" formatCode="0">
                  <c:v>47.581254899179321</c:v>
                </c:pt>
                <c:pt idx="21" formatCode="0">
                  <c:v>45.074299542191291</c:v>
                </c:pt>
                <c:pt idx="22" formatCode="0">
                  <c:v>43.017669642539317</c:v>
                </c:pt>
                <c:pt idx="23" formatCode="0">
                  <c:v>41.471336772292858</c:v>
                </c:pt>
                <c:pt idx="24" formatCode="0">
                  <c:v>40.495272503521413</c:v>
                </c:pt>
                <c:pt idx="25" formatCode="0">
                  <c:v>40.149448408294433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02-4D28-938E-3D9D88C2D8E5}"/>
            </c:ext>
          </c:extLst>
        </c:ser>
        <c:ser>
          <c:idx val="5"/>
          <c:order val="4"/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'ncap-delay'!$Y$13:$Y$38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'ncap-delay'!$AE$13:$AE$38</c:f>
              <c:numCache>
                <c:formatCode>General</c:formatCode>
                <c:ptCount val="26"/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02-4D28-938E-3D9D88C2D8E5}"/>
            </c:ext>
          </c:extLst>
        </c:ser>
        <c:ser>
          <c:idx val="6"/>
          <c:order val="5"/>
          <c:tx>
            <c:strRef>
              <c:f>'ncap-delay'!$AF$12</c:f>
              <c:strCache>
                <c:ptCount val="1"/>
                <c:pt idx="0">
                  <c:v>D8</c:v>
                </c:pt>
              </c:strCache>
            </c:strRef>
          </c:tx>
          <c:spPr>
            <a:ln w="381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'ncap-delay'!$Y$13:$Y$38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'ncap-delay'!$AF$13:$AF$38</c:f>
              <c:numCache>
                <c:formatCode>General</c:formatCode>
                <c:ptCount val="26"/>
                <c:pt idx="10">
                  <c:v>100</c:v>
                </c:pt>
                <c:pt idx="11" formatCode="0">
                  <c:v>100</c:v>
                </c:pt>
                <c:pt idx="12" formatCode="0">
                  <c:v>99.5353457913466</c:v>
                </c:pt>
                <c:pt idx="13" formatCode="0">
                  <c:v>99.070691582693215</c:v>
                </c:pt>
                <c:pt idx="14" formatCode="0">
                  <c:v>98.606037374039815</c:v>
                </c:pt>
                <c:pt idx="15" formatCode="0">
                  <c:v>98.141383165386415</c:v>
                </c:pt>
                <c:pt idx="16" formatCode="0">
                  <c:v>97.676728956733029</c:v>
                </c:pt>
                <c:pt idx="17" formatCode="0">
                  <c:v>97.21207474807963</c:v>
                </c:pt>
                <c:pt idx="18" formatCode="0">
                  <c:v>96.747420539426244</c:v>
                </c:pt>
                <c:pt idx="19" formatCode="0">
                  <c:v>96.282766330772844</c:v>
                </c:pt>
                <c:pt idx="20" formatCode="0">
                  <c:v>92.437289906193342</c:v>
                </c:pt>
                <c:pt idx="21" formatCode="0">
                  <c:v>84.117766932208752</c:v>
                </c:pt>
                <c:pt idx="22" formatCode="0">
                  <c:v>72.742092661658404</c:v>
                </c:pt>
                <c:pt idx="23" formatCode="0">
                  <c:v>60.347701292252779</c:v>
                </c:pt>
                <c:pt idx="24" formatCode="0">
                  <c:v>48.972027021702424</c:v>
                </c:pt>
                <c:pt idx="25" formatCode="0">
                  <c:v>40.652504047717841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302-4D28-938E-3D9D88C2D8E5}"/>
            </c:ext>
          </c:extLst>
        </c:ser>
        <c:ser>
          <c:idx val="7"/>
          <c:order val="6"/>
          <c:tx>
            <c:strRef>
              <c:f>'ncap-delay'!$AG$12</c:f>
              <c:strCache>
                <c:ptCount val="1"/>
                <c:pt idx="0">
                  <c:v>D1</c:v>
                </c:pt>
              </c:strCache>
            </c:strRef>
          </c:tx>
          <c:spPr>
            <a:ln w="38100" cap="rnd">
              <a:solidFill>
                <a:srgbClr val="B51BB5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rgbClr val="B51BB5"/>
                </a:solidFill>
              </a:ln>
              <a:effectLst/>
            </c:spPr>
          </c:marker>
          <c:cat>
            <c:numRef>
              <c:f>'ncap-delay'!$Y$13:$Y$38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'ncap-delay'!$AG$13:$AG$38</c:f>
              <c:numCache>
                <c:formatCode>General</c:formatCode>
                <c:ptCount val="26"/>
                <c:pt idx="10" formatCode="0">
                  <c:v>100</c:v>
                </c:pt>
                <c:pt idx="11" formatCode="0">
                  <c:v>100</c:v>
                </c:pt>
                <c:pt idx="12" formatCode="0">
                  <c:v>98.591122547589208</c:v>
                </c:pt>
                <c:pt idx="13" formatCode="0">
                  <c:v>96.369960700791751</c:v>
                </c:pt>
                <c:pt idx="14" formatCode="0">
                  <c:v>92.937256028468397</c:v>
                </c:pt>
                <c:pt idx="15" formatCode="0">
                  <c:v>88.51328904435114</c:v>
                </c:pt>
                <c:pt idx="16" formatCode="0">
                  <c:v>83.318340262171958</c:v>
                </c:pt>
                <c:pt idx="17" formatCode="0">
                  <c:v>77.572690195662815</c:v>
                </c:pt>
                <c:pt idx="18" formatCode="0">
                  <c:v>71.496619358555719</c:v>
                </c:pt>
                <c:pt idx="19" formatCode="0">
                  <c:v>65.31040826458262</c:v>
                </c:pt>
                <c:pt idx="20" formatCode="0">
                  <c:v>59.234337427475509</c:v>
                </c:pt>
                <c:pt idx="21" formatCode="0">
                  <c:v>53.488687360966381</c:v>
                </c:pt>
                <c:pt idx="22" formatCode="0">
                  <c:v>48.293738578787192</c:v>
                </c:pt>
                <c:pt idx="23" formatCode="0">
                  <c:v>43.869771594669928</c:v>
                </c:pt>
                <c:pt idx="24" formatCode="0">
                  <c:v>40.437066922346595</c:v>
                </c:pt>
                <c:pt idx="25" formatCode="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F-4766-A8FB-E817CAA42F5C}"/>
            </c:ext>
          </c:extLst>
        </c:ser>
        <c:ser>
          <c:idx val="2"/>
          <c:order val="7"/>
          <c:tx>
            <c:strRef>
              <c:f>'ncap-delay'!$AB$12</c:f>
              <c:strCache>
                <c:ptCount val="1"/>
                <c:pt idx="0">
                  <c:v>Stand</c:v>
                </c:pt>
              </c:strCache>
            </c:strRef>
          </c:tx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'ncap-delay'!$Y$13:$Y$38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'ncap-delay'!$AB$13:$AB$38</c:f>
              <c:numCache>
                <c:formatCode>General</c:formatCode>
                <c:ptCount val="26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02-4D28-938E-3D9D88C2D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015535"/>
        <c:axId val="1432014575"/>
      </c:lineChart>
      <c:catAx>
        <c:axId val="143201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014575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320145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/>
                  <a:t>Delhi Annual Average PM</a:t>
                </a:r>
                <a:r>
                  <a:rPr lang="en-IN" sz="1400" baseline="-25000"/>
                  <a:t>2.5</a:t>
                </a:r>
                <a:r>
                  <a:rPr lang="en-IN" sz="1400"/>
                  <a:t> Concentration (</a:t>
                </a:r>
                <a:r>
                  <a:rPr lang="en-IN" sz="1400">
                    <a:latin typeface="Symbol" panose="05050102010706020507" pitchFamily="18" charset="2"/>
                  </a:rPr>
                  <a:t>m</a:t>
                </a:r>
                <a:r>
                  <a:rPr lang="en-IN" sz="1400"/>
                  <a:t>g/m</a:t>
                </a:r>
                <a:r>
                  <a:rPr lang="en-IN" sz="1400" baseline="30000"/>
                  <a:t>3</a:t>
                </a:r>
                <a:r>
                  <a:rPr lang="en-IN" sz="1400"/>
                  <a:t>)</a:t>
                </a:r>
              </a:p>
            </c:rich>
          </c:tx>
          <c:layout>
            <c:manualLayout>
              <c:xMode val="edge"/>
              <c:yMode val="edge"/>
              <c:x val="8.6535133264105234E-3"/>
              <c:y val="9.52186653524204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01553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'ncap-delay'!$AI$5</c:f>
              <c:strCache>
                <c:ptCount val="1"/>
                <c:pt idx="0">
                  <c:v>TRAN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'ncap-delay'!$AJ$4:$AK$4</c:f>
              <c:strCache>
                <c:ptCount val="2"/>
                <c:pt idx="0">
                  <c:v>BASE2040</c:v>
                </c:pt>
                <c:pt idx="1">
                  <c:v>CONTROL</c:v>
                </c:pt>
              </c:strCache>
            </c:strRef>
          </c:cat>
          <c:val>
            <c:numRef>
              <c:f>'ncap-delay'!$AJ$5:$AK$5</c:f>
              <c:numCache>
                <c:formatCode>0.0</c:formatCode>
                <c:ptCount val="2"/>
                <c:pt idx="0">
                  <c:v>26.275326928879924</c:v>
                </c:pt>
                <c:pt idx="1">
                  <c:v>11.823897117995964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7-47C3-B4AF-9E4F17A04723}"/>
            </c:ext>
          </c:extLst>
        </c:ser>
        <c:ser>
          <c:idx val="1"/>
          <c:order val="1"/>
          <c:tx>
            <c:strRef>
              <c:f>'ncap-delay'!$AI$6</c:f>
              <c:strCache>
                <c:ptCount val="1"/>
                <c:pt idx="0">
                  <c:v>DUST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'ncap-delay'!$AJ$4:$AK$4</c:f>
              <c:strCache>
                <c:ptCount val="2"/>
                <c:pt idx="0">
                  <c:v>BASE2040</c:v>
                </c:pt>
                <c:pt idx="1">
                  <c:v>CONTROL</c:v>
                </c:pt>
              </c:strCache>
            </c:strRef>
          </c:cat>
          <c:val>
            <c:numRef>
              <c:f>'ncap-delay'!$AJ$6:$AK$6</c:f>
              <c:numCache>
                <c:formatCode>0.0</c:formatCode>
                <c:ptCount val="2"/>
                <c:pt idx="0">
                  <c:v>9.0086835184731182</c:v>
                </c:pt>
                <c:pt idx="1">
                  <c:v>4.0539075833129026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D7-47C3-B4AF-9E4F17A04723}"/>
            </c:ext>
          </c:extLst>
        </c:ser>
        <c:ser>
          <c:idx val="2"/>
          <c:order val="2"/>
          <c:tx>
            <c:strRef>
              <c:f>'ncap-delay'!$AI$7</c:f>
              <c:strCache>
                <c:ptCount val="1"/>
                <c:pt idx="0">
                  <c:v>COOK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'ncap-delay'!$AJ$4:$AK$4</c:f>
              <c:strCache>
                <c:ptCount val="2"/>
                <c:pt idx="0">
                  <c:v>BASE2040</c:v>
                </c:pt>
                <c:pt idx="1">
                  <c:v>CONTROL</c:v>
                </c:pt>
              </c:strCache>
            </c:strRef>
          </c:cat>
          <c:val>
            <c:numRef>
              <c:f>'ncap-delay'!$AJ$7:$AK$7</c:f>
              <c:numCache>
                <c:formatCode>0.0</c:formatCode>
                <c:ptCount val="2"/>
                <c:pt idx="0">
                  <c:v>11.260854398091398</c:v>
                </c:pt>
                <c:pt idx="1">
                  <c:v>5.0673844791411291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D7-47C3-B4AF-9E4F17A04723}"/>
            </c:ext>
          </c:extLst>
        </c:ser>
        <c:ser>
          <c:idx val="3"/>
          <c:order val="3"/>
          <c:tx>
            <c:strRef>
              <c:f>'ncap-delay'!$AI$8</c:f>
              <c:strCache>
                <c:ptCount val="1"/>
                <c:pt idx="0">
                  <c:v>HEAT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'ncap-delay'!$AJ$4:$AK$4</c:f>
              <c:strCache>
                <c:ptCount val="2"/>
                <c:pt idx="0">
                  <c:v>BASE2040</c:v>
                </c:pt>
                <c:pt idx="1">
                  <c:v>CONTROL</c:v>
                </c:pt>
              </c:strCache>
            </c:strRef>
          </c:cat>
          <c:val>
            <c:numRef>
              <c:f>'ncap-delay'!$AJ$8:$AK$8</c:f>
              <c:numCache>
                <c:formatCode>0.0</c:formatCode>
                <c:ptCount val="2"/>
                <c:pt idx="0">
                  <c:v>18.830577191894459</c:v>
                </c:pt>
                <c:pt idx="1">
                  <c:v>4.7076442979736148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D7-47C3-B4AF-9E4F17A04723}"/>
            </c:ext>
          </c:extLst>
        </c:ser>
        <c:ser>
          <c:idx val="4"/>
          <c:order val="4"/>
          <c:tx>
            <c:strRef>
              <c:f>'ncap-delay'!$AI$9</c:f>
              <c:strCache>
                <c:ptCount val="1"/>
                <c:pt idx="0">
                  <c:v>INDI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'ncap-delay'!$AJ$4:$AK$4</c:f>
              <c:strCache>
                <c:ptCount val="2"/>
                <c:pt idx="0">
                  <c:v>BASE2040</c:v>
                </c:pt>
                <c:pt idx="1">
                  <c:v>CONTROL</c:v>
                </c:pt>
              </c:strCache>
            </c:strRef>
          </c:cat>
          <c:val>
            <c:numRef>
              <c:f>'ncap-delay'!$AJ$9:$AK$9</c:f>
              <c:numCache>
                <c:formatCode>0.0</c:formatCode>
                <c:ptCount val="2"/>
                <c:pt idx="0">
                  <c:v>15.014472530788536</c:v>
                </c:pt>
                <c:pt idx="1">
                  <c:v>7.5072362653942681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D7-47C3-B4AF-9E4F17A04723}"/>
            </c:ext>
          </c:extLst>
        </c:ser>
        <c:ser>
          <c:idx val="5"/>
          <c:order val="5"/>
          <c:tx>
            <c:strRef>
              <c:f>'ncap-delay'!$AI$10</c:f>
              <c:strCache>
                <c:ptCount val="1"/>
                <c:pt idx="0">
                  <c:v>WAST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'ncap-delay'!$AJ$4:$AK$4</c:f>
              <c:strCache>
                <c:ptCount val="2"/>
                <c:pt idx="0">
                  <c:v>BASE2040</c:v>
                </c:pt>
                <c:pt idx="1">
                  <c:v>CONTROL</c:v>
                </c:pt>
              </c:strCache>
            </c:strRef>
          </c:cat>
          <c:val>
            <c:numRef>
              <c:f>'ncap-delay'!$AJ$10:$AK$10</c:f>
              <c:numCache>
                <c:formatCode>0.0</c:formatCode>
                <c:ptCount val="2"/>
                <c:pt idx="0">
                  <c:v>9.0086835184731182</c:v>
                </c:pt>
                <c:pt idx="1">
                  <c:v>4.5043417592365591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D7-47C3-B4AF-9E4F17A04723}"/>
            </c:ext>
          </c:extLst>
        </c:ser>
        <c:ser>
          <c:idx val="6"/>
          <c:order val="6"/>
          <c:tx>
            <c:strRef>
              <c:f>'ncap-delay'!$AI$11</c:f>
              <c:strCache>
                <c:ptCount val="1"/>
                <c:pt idx="0">
                  <c:v>STUB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'ncap-delay'!$AJ$4:$AK$4</c:f>
              <c:strCache>
                <c:ptCount val="2"/>
                <c:pt idx="0">
                  <c:v>BASE2040</c:v>
                </c:pt>
                <c:pt idx="1">
                  <c:v>CONTROL</c:v>
                </c:pt>
              </c:strCache>
            </c:strRef>
          </c:cat>
          <c:val>
            <c:numRef>
              <c:f>'ncap-delay'!$AJ$11:$AK$11</c:f>
              <c:numCache>
                <c:formatCode>0.0</c:formatCode>
                <c:ptCount val="2"/>
                <c:pt idx="0">
                  <c:v>4.7394254298353573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D7-47C3-B4AF-9E4F17A04723}"/>
            </c:ext>
          </c:extLst>
        </c:ser>
        <c:ser>
          <c:idx val="7"/>
          <c:order val="7"/>
          <c:tx>
            <c:strRef>
              <c:f>'ncap-delay'!$AI$12</c:f>
              <c:strCache>
                <c:ptCount val="1"/>
                <c:pt idx="0">
                  <c:v>OTHR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'ncap-delay'!$AJ$4:$AK$4</c:f>
              <c:strCache>
                <c:ptCount val="2"/>
                <c:pt idx="0">
                  <c:v>BASE2040</c:v>
                </c:pt>
                <c:pt idx="1">
                  <c:v>CONTROL</c:v>
                </c:pt>
              </c:strCache>
            </c:strRef>
          </c:cat>
          <c:val>
            <c:numRef>
              <c:f>'ncap-delay'!$AJ$12:$AK$12</c:f>
              <c:numCache>
                <c:formatCode>0.0</c:formatCode>
                <c:ptCount val="2"/>
                <c:pt idx="0">
                  <c:v>4.5043417592365547</c:v>
                </c:pt>
                <c:pt idx="1">
                  <c:v>1.1260854398091387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D7-47C3-B4AF-9E4F17A0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8424671"/>
        <c:axId val="1158435231"/>
      </c:barChart>
      <c:catAx>
        <c:axId val="1158424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Rockwell" panose="02060603020205020403" pitchFamily="18" charset="0"/>
                <a:ea typeface="+mn-ea"/>
                <a:cs typeface="+mn-cs"/>
              </a:defRPr>
            </a:pPr>
            <a:endParaRPr lang="en-US"/>
          </a:p>
        </c:txPr>
        <c:crossAx val="1158435231"/>
        <c:crosses val="autoZero"/>
        <c:auto val="1"/>
        <c:lblAlgn val="ctr"/>
        <c:lblOffset val="100"/>
        <c:noMultiLvlLbl val="0"/>
      </c:catAx>
      <c:valAx>
        <c:axId val="115843523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Rockwell" panose="02060603020205020403" pitchFamily="18" charset="0"/>
                <a:ea typeface="+mn-ea"/>
                <a:cs typeface="+mn-cs"/>
              </a:defRPr>
            </a:pPr>
            <a:endParaRPr lang="en-US"/>
          </a:p>
        </c:txPr>
        <c:crossAx val="1158424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872323132903843"/>
          <c:y val="1.5450127689934347E-2"/>
          <c:w val="0.2112767686709616"/>
          <c:h val="0.46056079296488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Rockwell" panose="020606030202050204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Rockwell" panose="020606030202050204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55581949652928E-2"/>
          <c:y val="2.5428331875182269E-2"/>
          <c:w val="0.90719232454289311"/>
          <c:h val="0.89032042869641292"/>
        </c:manualLayout>
      </c:layout>
      <c:lineChart>
        <c:grouping val="standard"/>
        <c:varyColors val="0"/>
        <c:ser>
          <c:idx val="3"/>
          <c:order val="0"/>
          <c:tx>
            <c:strRef>
              <c:f>monthly_concs!$B$18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>
                  <a:shade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61000"/>
                </a:schemeClr>
              </a:solidFill>
              <a:ln w="9525">
                <a:solidFill>
                  <a:schemeClr val="accent3">
                    <a:shade val="61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monthly_concs!$C$18:$N$18</c:f>
              <c:numCache>
                <c:formatCode>General</c:formatCode>
                <c:ptCount val="12"/>
                <c:pt idx="0">
                  <c:v>190</c:v>
                </c:pt>
                <c:pt idx="1">
                  <c:v>123</c:v>
                </c:pt>
                <c:pt idx="2">
                  <c:v>83</c:v>
                </c:pt>
                <c:pt idx="3">
                  <c:v>81</c:v>
                </c:pt>
                <c:pt idx="4">
                  <c:v>88</c:v>
                </c:pt>
                <c:pt idx="5">
                  <c:v>63</c:v>
                </c:pt>
                <c:pt idx="6">
                  <c:v>46</c:v>
                </c:pt>
                <c:pt idx="7">
                  <c:v>34</c:v>
                </c:pt>
                <c:pt idx="8">
                  <c:v>39</c:v>
                </c:pt>
                <c:pt idx="9">
                  <c:v>114</c:v>
                </c:pt>
                <c:pt idx="10">
                  <c:v>187</c:v>
                </c:pt>
                <c:pt idx="11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BC-4332-9D26-DE8B62C1C727}"/>
            </c:ext>
          </c:extLst>
        </c:ser>
        <c:ser>
          <c:idx val="4"/>
          <c:order val="1"/>
          <c:tx>
            <c:strRef>
              <c:f>monthly_concs!$B$19</c:f>
              <c:strCache>
                <c:ptCount val="1"/>
                <c:pt idx="0">
                  <c:v>2020</c:v>
                </c:pt>
              </c:strCache>
            </c:strRef>
          </c:tx>
          <c:spPr>
            <a:ln w="508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68000"/>
                </a:schemeClr>
              </a:solidFill>
              <a:ln w="9525">
                <a:solidFill>
                  <a:schemeClr val="accent3">
                    <a:shade val="68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monthly_concs!$C$19:$N$19</c:f>
              <c:numCache>
                <c:formatCode>General</c:formatCode>
                <c:ptCount val="12"/>
                <c:pt idx="0">
                  <c:v>148</c:v>
                </c:pt>
                <c:pt idx="1">
                  <c:v>120</c:v>
                </c:pt>
                <c:pt idx="2">
                  <c:v>57</c:v>
                </c:pt>
                <c:pt idx="3">
                  <c:v>44</c:v>
                </c:pt>
                <c:pt idx="4">
                  <c:v>54</c:v>
                </c:pt>
                <c:pt idx="5">
                  <c:v>46</c:v>
                </c:pt>
                <c:pt idx="6">
                  <c:v>34</c:v>
                </c:pt>
                <c:pt idx="7">
                  <c:v>24</c:v>
                </c:pt>
                <c:pt idx="8">
                  <c:v>47</c:v>
                </c:pt>
                <c:pt idx="9">
                  <c:v>132</c:v>
                </c:pt>
                <c:pt idx="10">
                  <c:v>199</c:v>
                </c:pt>
                <c:pt idx="11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BC-4332-9D26-DE8B62C1C727}"/>
            </c:ext>
          </c:extLst>
        </c:ser>
        <c:ser>
          <c:idx val="5"/>
          <c:order val="2"/>
          <c:tx>
            <c:strRef>
              <c:f>monthly_concs!$B$20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>
                  <a:tint val="9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76000"/>
                </a:schemeClr>
              </a:solidFill>
              <a:ln w="9525">
                <a:solidFill>
                  <a:schemeClr val="accent3">
                    <a:shade val="76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monthly_concs!$C$20:$N$20</c:f>
              <c:numCache>
                <c:formatCode>General</c:formatCode>
                <c:ptCount val="12"/>
                <c:pt idx="0">
                  <c:v>187</c:v>
                </c:pt>
                <c:pt idx="1">
                  <c:v>150</c:v>
                </c:pt>
                <c:pt idx="2">
                  <c:v>96</c:v>
                </c:pt>
                <c:pt idx="3">
                  <c:v>86</c:v>
                </c:pt>
                <c:pt idx="4">
                  <c:v>53</c:v>
                </c:pt>
                <c:pt idx="5">
                  <c:v>53</c:v>
                </c:pt>
                <c:pt idx="6">
                  <c:v>39</c:v>
                </c:pt>
                <c:pt idx="7">
                  <c:v>41</c:v>
                </c:pt>
                <c:pt idx="8">
                  <c:v>32</c:v>
                </c:pt>
                <c:pt idx="9">
                  <c:v>74</c:v>
                </c:pt>
                <c:pt idx="10">
                  <c:v>230</c:v>
                </c:pt>
                <c:pt idx="11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BC-4332-9D26-DE8B62C1C727}"/>
            </c:ext>
          </c:extLst>
        </c:ser>
        <c:ser>
          <c:idx val="6"/>
          <c:order val="3"/>
          <c:tx>
            <c:strRef>
              <c:f>monthly_concs!$B$21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>
                  <a:tint val="81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84000"/>
                </a:schemeClr>
              </a:solidFill>
              <a:ln w="9525">
                <a:solidFill>
                  <a:schemeClr val="accent3">
                    <a:shade val="84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monthly_concs!$C$21:$N$21</c:f>
              <c:numCache>
                <c:formatCode>General</c:formatCode>
                <c:ptCount val="12"/>
                <c:pt idx="0">
                  <c:v>150</c:v>
                </c:pt>
                <c:pt idx="1">
                  <c:v>103</c:v>
                </c:pt>
                <c:pt idx="2">
                  <c:v>98</c:v>
                </c:pt>
                <c:pt idx="3">
                  <c:v>106</c:v>
                </c:pt>
                <c:pt idx="4">
                  <c:v>78</c:v>
                </c:pt>
                <c:pt idx="5">
                  <c:v>62</c:v>
                </c:pt>
                <c:pt idx="6">
                  <c:v>35</c:v>
                </c:pt>
                <c:pt idx="7">
                  <c:v>32</c:v>
                </c:pt>
                <c:pt idx="8">
                  <c:v>40</c:v>
                </c:pt>
                <c:pt idx="9">
                  <c:v>106</c:v>
                </c:pt>
                <c:pt idx="10">
                  <c:v>178</c:v>
                </c:pt>
                <c:pt idx="11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4BC-4332-9D26-DE8B62C1C727}"/>
            </c:ext>
          </c:extLst>
        </c:ser>
        <c:ser>
          <c:idx val="7"/>
          <c:order val="4"/>
          <c:tx>
            <c:strRef>
              <c:f>monthly_concs!$B$22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92000"/>
                </a:schemeClr>
              </a:solidFill>
              <a:ln w="9525">
                <a:solidFill>
                  <a:schemeClr val="accent3">
                    <a:shade val="92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monthly_concs!$C$22:$N$22</c:f>
              <c:numCache>
                <c:formatCode>0</c:formatCode>
                <c:ptCount val="12"/>
                <c:pt idx="0">
                  <c:v>175.232899</c:v>
                </c:pt>
                <c:pt idx="1">
                  <c:v>114.38470599999999</c:v>
                </c:pt>
                <c:pt idx="2">
                  <c:v>77.732664150000005</c:v>
                </c:pt>
                <c:pt idx="3">
                  <c:v>66.088810510000002</c:v>
                </c:pt>
                <c:pt idx="4">
                  <c:v>65.126872370000001</c:v>
                </c:pt>
                <c:pt idx="5">
                  <c:v>45.505431629999997</c:v>
                </c:pt>
                <c:pt idx="6">
                  <c:v>33.918681990000003</c:v>
                </c:pt>
                <c:pt idx="7">
                  <c:v>38.310519730000003</c:v>
                </c:pt>
                <c:pt idx="8">
                  <c:v>42.982746040000002</c:v>
                </c:pt>
                <c:pt idx="9">
                  <c:v>104.86342569999999</c:v>
                </c:pt>
                <c:pt idx="10">
                  <c:v>241.8764425</c:v>
                </c:pt>
                <c:pt idx="11">
                  <c:v>200.45894530000001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4BC-4332-9D26-DE8B62C1C727}"/>
            </c:ext>
          </c:extLst>
        </c:ser>
        <c:ser>
          <c:idx val="8"/>
          <c:order val="5"/>
          <c:tx>
            <c:strRef>
              <c:f>monthly_concs!$B$23</c:f>
              <c:strCache>
                <c:ptCount val="1"/>
                <c:pt idx="0">
                  <c:v>2024</c:v>
                </c:pt>
              </c:strCache>
            </c:strRef>
          </c:tx>
          <c:spPr>
            <a:ln w="508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monthly_concs!$C$23:$N$23</c:f>
              <c:numCache>
                <c:formatCode>0</c:formatCode>
                <c:ptCount val="12"/>
                <c:pt idx="0">
                  <c:v>202.8046401</c:v>
                </c:pt>
                <c:pt idx="1">
                  <c:v>104.4008211</c:v>
                </c:pt>
                <c:pt idx="2">
                  <c:v>77.610635479999999</c:v>
                </c:pt>
                <c:pt idx="3">
                  <c:v>70.286510210000003</c:v>
                </c:pt>
                <c:pt idx="4">
                  <c:v>89.38746956</c:v>
                </c:pt>
                <c:pt idx="5">
                  <c:v>59.021960559999997</c:v>
                </c:pt>
                <c:pt idx="6">
                  <c:v>39.683514989999999</c:v>
                </c:pt>
                <c:pt idx="7">
                  <c:v>27.38174871</c:v>
                </c:pt>
                <c:pt idx="8">
                  <c:v>42.968383609999997</c:v>
                </c:pt>
                <c:pt idx="9">
                  <c:v>109.96127730000001</c:v>
                </c:pt>
                <c:pt idx="10">
                  <c:v>225.286923</c:v>
                </c:pt>
                <c:pt idx="11">
                  <c:v>164.06165480000001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BC-4332-9D26-DE8B62C1C727}"/>
            </c:ext>
          </c:extLst>
        </c:ser>
        <c:ser>
          <c:idx val="9"/>
          <c:order val="6"/>
          <c:tx>
            <c:strRef>
              <c:f>monthly_concs!$B$24</c:f>
              <c:strCache>
                <c:ptCount val="1"/>
                <c:pt idx="0">
                  <c:v>2025</c:v>
                </c:pt>
              </c:strCache>
            </c:strRef>
          </c:tx>
          <c:spPr>
            <a:ln w="508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43000"/>
                </a:schemeClr>
              </a:solidFill>
              <a:ln w="9525">
                <a:solidFill>
                  <a:schemeClr val="accent3">
                    <a:tint val="43000"/>
                  </a:schemeClr>
                </a:solidFill>
              </a:ln>
              <a:effectLst/>
            </c:spPr>
          </c:marker>
          <c:cat>
            <c:strRef>
              <c:f>monthly_concs!$C$4:$N$4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monthly_concs!$C$24:$N$24</c:f>
              <c:numCache>
                <c:formatCode>0</c:formatCode>
                <c:ptCount val="12"/>
                <c:pt idx="0">
                  <c:v>162.045101104069</c:v>
                </c:pt>
                <c:pt idx="1">
                  <c:v>97.001005396694197</c:v>
                </c:pt>
                <c:pt idx="2">
                  <c:v>70.493896538944597</c:v>
                </c:pt>
                <c:pt idx="3">
                  <c:v>76.625733817257597</c:v>
                </c:pt>
                <c:pt idx="4">
                  <c:v>65.869472784596297</c:v>
                </c:pt>
                <c:pt idx="5">
                  <c:v>49.875810691592697</c:v>
                </c:pt>
                <c:pt idx="6">
                  <c:v>29.578822710000001</c:v>
                </c:pt>
                <c:pt idx="7">
                  <c:v>32.817674310000001</c:v>
                </c:pt>
                <c:pt idx="8">
                  <c:v>35.624257780000001</c:v>
                </c:pt>
                <c:pt idx="9">
                  <c:v>102.8824297</c:v>
                </c:pt>
                <c:pt idx="10">
                  <c:v>220.2200273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B-4662-9913-A102A3CCB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884383"/>
        <c:axId val="1284884863"/>
      </c:lineChart>
      <c:catAx>
        <c:axId val="1284884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84863"/>
        <c:crosses val="autoZero"/>
        <c:auto val="1"/>
        <c:lblAlgn val="ctr"/>
        <c:lblOffset val="100"/>
        <c:noMultiLvlLbl val="0"/>
      </c:catAx>
      <c:valAx>
        <c:axId val="1284884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600"/>
                  <a:t>PM2.5 Concentrations (</a:t>
                </a:r>
                <a:r>
                  <a:rPr lang="en-IN" sz="1600" baseline="0">
                    <a:latin typeface="Symbol" panose="05050102010706020507" pitchFamily="18" charset="2"/>
                  </a:rPr>
                  <a:t>m</a:t>
                </a:r>
                <a:r>
                  <a:rPr lang="en-IN" sz="1600"/>
                  <a:t>g/m</a:t>
                </a:r>
                <a:r>
                  <a:rPr lang="en-IN" sz="1600" baseline="30000"/>
                  <a:t>3</a:t>
                </a:r>
                <a:r>
                  <a:rPr lang="en-IN" sz="1600"/>
                  <a:t>)</a:t>
                </a:r>
              </a:p>
            </c:rich>
          </c:tx>
          <c:layout>
            <c:manualLayout>
              <c:xMode val="edge"/>
              <c:yMode val="edge"/>
              <c:x val="6.8331906444313133E-3"/>
              <c:y val="9.53515385044954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88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3682438814596879E-2"/>
          <c:y val="5.4964539007092202E-2"/>
          <c:w val="0.80214636263882011"/>
          <c:h val="8.12729658792650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59886264216953E-2"/>
          <c:y val="0.13055555555555556"/>
          <c:w val="0.833680227471566"/>
          <c:h val="0.8336802274715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3F-4986-ADFA-7992BE20F8B2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3F-4986-ADFA-7992BE20F8B2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3F-4986-ADFA-7992BE20F8B2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3F-4986-ADFA-7992BE20F8B2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3F-4986-ADFA-7992BE20F8B2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3F-4986-ADFA-7992BE20F8B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3F-4986-ADFA-7992BE20F8B2}"/>
              </c:ext>
            </c:extLst>
          </c:dPt>
          <c:dPt>
            <c:idx val="7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A80-4755-B3BC-F3ABE9E425B1}"/>
              </c:ext>
            </c:extLst>
          </c:dPt>
          <c:dLbls>
            <c:dLbl>
              <c:idx val="0"/>
              <c:layout>
                <c:manualLayout>
                  <c:x val="-0.13055555555555556"/>
                  <c:y val="0.13611111111111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F-4986-ADFA-7992BE20F8B2}"/>
                </c:ext>
              </c:extLst>
            </c:dLbl>
            <c:dLbl>
              <c:idx val="1"/>
              <c:layout>
                <c:manualLayout>
                  <c:x val="-0.1361111111111111"/>
                  <c:y val="-6.38888888888888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F-4986-ADFA-7992BE20F8B2}"/>
                </c:ext>
              </c:extLst>
            </c:dLbl>
            <c:dLbl>
              <c:idx val="2"/>
              <c:layout>
                <c:manualLayout>
                  <c:x val="-0.13055555555555556"/>
                  <c:y val="-0.147222222222222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3F-4986-ADFA-7992BE20F8B2}"/>
                </c:ext>
              </c:extLst>
            </c:dLbl>
            <c:dLbl>
              <c:idx val="3"/>
              <c:layout>
                <c:manualLayout>
                  <c:x val="8.3333333333333329E-2"/>
                  <c:y val="-0.10000000000000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3F-4986-ADFA-7992BE20F8B2}"/>
                </c:ext>
              </c:extLst>
            </c:dLbl>
            <c:dLbl>
              <c:idx val="4"/>
              <c:layout>
                <c:manualLayout>
                  <c:x val="0.15277777777777779"/>
                  <c:y val="-5.55555555555556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3F-4986-ADFA-7992BE20F8B2}"/>
                </c:ext>
              </c:extLst>
            </c:dLbl>
            <c:dLbl>
              <c:idx val="5"/>
              <c:layout>
                <c:manualLayout>
                  <c:x val="0.15277777777777776"/>
                  <c:y val="9.1666666666666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3F-4986-ADFA-7992BE20F8B2}"/>
                </c:ext>
              </c:extLst>
            </c:dLbl>
            <c:dLbl>
              <c:idx val="6"/>
              <c:layout>
                <c:manualLayout>
                  <c:x val="-5.5555555555555809E-3"/>
                  <c:y val="-1.2731334408019993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3F-4986-ADFA-7992BE20F8B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pmsa!$R$25:$R$32</c:f>
              <c:strCache>
                <c:ptCount val="8"/>
                <c:pt idx="0">
                  <c:v>TRAN</c:v>
                </c:pt>
                <c:pt idx="1">
                  <c:v>DUST</c:v>
                </c:pt>
                <c:pt idx="2">
                  <c:v>COOK</c:v>
                </c:pt>
                <c:pt idx="3">
                  <c:v>HEAT</c:v>
                </c:pt>
                <c:pt idx="4">
                  <c:v>INDI</c:v>
                </c:pt>
                <c:pt idx="5">
                  <c:v>WAST</c:v>
                </c:pt>
                <c:pt idx="6">
                  <c:v>STUB</c:v>
                </c:pt>
                <c:pt idx="7">
                  <c:v>OTHS</c:v>
                </c:pt>
              </c:strCache>
            </c:strRef>
          </c:cat>
          <c:val>
            <c:numRef>
              <c:f>pmsa!$S$25:$S$32</c:f>
              <c:numCache>
                <c:formatCode>0</c:formatCode>
                <c:ptCount val="8"/>
                <c:pt idx="0">
                  <c:v>26.275326928879924</c:v>
                </c:pt>
                <c:pt idx="1">
                  <c:v>9.0086835184731182</c:v>
                </c:pt>
                <c:pt idx="2">
                  <c:v>11.260854398091398</c:v>
                </c:pt>
                <c:pt idx="3">
                  <c:v>18.830577191894459</c:v>
                </c:pt>
                <c:pt idx="4">
                  <c:v>15.014472530788536</c:v>
                </c:pt>
                <c:pt idx="5">
                  <c:v>9.0086835184731182</c:v>
                </c:pt>
                <c:pt idx="6">
                  <c:v>4.7394254298353573</c:v>
                </c:pt>
                <c:pt idx="7">
                  <c:v>4.5043417592365547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3F-4986-ADFA-7992BE20F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59886264216953E-2"/>
          <c:y val="0.13055555555555556"/>
          <c:w val="0.833680227471566"/>
          <c:h val="0.8336802274715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A1-4DC0-AE3C-10F84E0BE13A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A1-4DC0-AE3C-10F84E0BE13A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A1-4DC0-AE3C-10F84E0BE13A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A1-4DC0-AE3C-10F84E0BE13A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6A1-4DC0-AE3C-10F84E0BE13A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6A1-4DC0-AE3C-10F84E0BE13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6A1-4DC0-AE3C-10F84E0BE13A}"/>
              </c:ext>
            </c:extLst>
          </c:dPt>
          <c:dPt>
            <c:idx val="7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B32-4D36-81EE-E14944069F6F}"/>
              </c:ext>
            </c:extLst>
          </c:dPt>
          <c:dLbls>
            <c:dLbl>
              <c:idx val="0"/>
              <c:layout>
                <c:manualLayout>
                  <c:x val="-0.1000000000000001"/>
                  <c:y val="0.1583333333333333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A1-4DC0-AE3C-10F84E0BE13A}"/>
                </c:ext>
              </c:extLst>
            </c:dLbl>
            <c:dLbl>
              <c:idx val="1"/>
              <c:layout>
                <c:manualLayout>
                  <c:x val="-0.10277777777777777"/>
                  <c:y val="-1.66666666666667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A1-4DC0-AE3C-10F84E0BE13A}"/>
                </c:ext>
              </c:extLst>
            </c:dLbl>
            <c:dLbl>
              <c:idx val="2"/>
              <c:layout>
                <c:manualLayout>
                  <c:x val="-0.14722222222222234"/>
                  <c:y val="-9.44444444444444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A1-4DC0-AE3C-10F84E0BE13A}"/>
                </c:ext>
              </c:extLst>
            </c:dLbl>
            <c:dLbl>
              <c:idx val="3"/>
              <c:layout>
                <c:manualLayout>
                  <c:x val="-8.3333333333333835E-3"/>
                  <c:y val="-6.9444444444444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A1-4DC0-AE3C-10F84E0BE13A}"/>
                </c:ext>
              </c:extLst>
            </c:dLbl>
            <c:dLbl>
              <c:idx val="4"/>
              <c:layout>
                <c:manualLayout>
                  <c:x val="0.14444444444444443"/>
                  <c:y val="2.77777777777777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A1-4DC0-AE3C-10F84E0BE13A}"/>
                </c:ext>
              </c:extLst>
            </c:dLbl>
            <c:dLbl>
              <c:idx val="5"/>
              <c:layout>
                <c:manualLayout>
                  <c:x val="-1.3888888888888895E-2"/>
                  <c:y val="5.555555555555555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A1-4DC0-AE3C-10F84E0BE13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pmsa!$R$25:$R$32</c:f>
              <c:strCache>
                <c:ptCount val="8"/>
                <c:pt idx="0">
                  <c:v>TRAN</c:v>
                </c:pt>
                <c:pt idx="1">
                  <c:v>DUST</c:v>
                </c:pt>
                <c:pt idx="2">
                  <c:v>COOK</c:v>
                </c:pt>
                <c:pt idx="3">
                  <c:v>HEAT</c:v>
                </c:pt>
                <c:pt idx="4">
                  <c:v>INDI</c:v>
                </c:pt>
                <c:pt idx="5">
                  <c:v>WAST</c:v>
                </c:pt>
                <c:pt idx="6">
                  <c:v>STUB</c:v>
                </c:pt>
                <c:pt idx="7">
                  <c:v>OTHS</c:v>
                </c:pt>
              </c:strCache>
            </c:strRef>
          </c:cat>
          <c:val>
            <c:numRef>
              <c:f>pmsa!$T$25:$T$32</c:f>
              <c:numCache>
                <c:formatCode>0</c:formatCode>
                <c:ptCount val="8"/>
                <c:pt idx="0">
                  <c:v>37.629799240562022</c:v>
                </c:pt>
                <c:pt idx="1">
                  <c:v>12.90164545390698</c:v>
                </c:pt>
                <c:pt idx="2">
                  <c:v>16.127056817383725</c:v>
                </c:pt>
                <c:pt idx="3">
                  <c:v>56.491731575683374</c:v>
                </c:pt>
                <c:pt idx="4">
                  <c:v>21.502742423178297</c:v>
                </c:pt>
                <c:pt idx="5">
                  <c:v>12.90164545390698</c:v>
                </c:pt>
                <c:pt idx="6">
                  <c:v>7.935982461428571</c:v>
                </c:pt>
                <c:pt idx="7">
                  <c:v>6.4508227269534837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6A1-4DC0-AE3C-10F84E0BE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59886264216953E-2"/>
          <c:y val="0.13055555555555556"/>
          <c:w val="0.833680227471566"/>
          <c:h val="0.8336802274715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AA-4B67-97F2-43E67B317A64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AA-4B67-97F2-43E67B317A64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AA-4B67-97F2-43E67B317A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AA-4B67-97F2-43E67B317A64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AA-4B67-97F2-43E67B317A64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AA-4B67-97F2-43E67B317A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AA-4B67-97F2-43E67B317A64}"/>
              </c:ext>
            </c:extLst>
          </c:dPt>
          <c:dPt>
            <c:idx val="7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AA-4B67-97F2-43E67B317A64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pmsa!$R$25:$R$32</c:f>
              <c:strCache>
                <c:ptCount val="8"/>
                <c:pt idx="0">
                  <c:v>TRAN</c:v>
                </c:pt>
                <c:pt idx="1">
                  <c:v>DUST</c:v>
                </c:pt>
                <c:pt idx="2">
                  <c:v>COOK</c:v>
                </c:pt>
                <c:pt idx="3">
                  <c:v>HEAT</c:v>
                </c:pt>
                <c:pt idx="4">
                  <c:v>INDI</c:v>
                </c:pt>
                <c:pt idx="5">
                  <c:v>WAST</c:v>
                </c:pt>
                <c:pt idx="6">
                  <c:v>STUB</c:v>
                </c:pt>
                <c:pt idx="7">
                  <c:v>OTHS</c:v>
                </c:pt>
              </c:strCache>
            </c:strRef>
          </c:cat>
          <c:val>
            <c:numRef>
              <c:f>pmsa!$U$25:$U$32</c:f>
              <c:numCache>
                <c:formatCode>0</c:formatCode>
                <c:ptCount val="8"/>
                <c:pt idx="0">
                  <c:v>14.308369409394908</c:v>
                </c:pt>
                <c:pt idx="1">
                  <c:v>4.9057266546496834</c:v>
                </c:pt>
                <c:pt idx="2">
                  <c:v>6.1321583183121033</c:v>
                </c:pt>
                <c:pt idx="3">
                  <c:v>0</c:v>
                </c:pt>
                <c:pt idx="4">
                  <c:v>8.1762110910828056</c:v>
                </c:pt>
                <c:pt idx="5">
                  <c:v>4.9057266546496834</c:v>
                </c:pt>
                <c:pt idx="6">
                  <c:v>0</c:v>
                </c:pt>
                <c:pt idx="7">
                  <c:v>2.452863327324839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DAA-4B67-97F2-43E67B317A6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strRef>
              <c:f>drops!$G$6</c:f>
              <c:strCache>
                <c:ptCount val="1"/>
                <c:pt idx="0">
                  <c:v>curve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drops!$A$7:$A$22</c:f>
              <c:numCache>
                <c:formatCode>General</c:formatCode>
                <c:ptCount val="1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</c:numCache>
            </c:numRef>
          </c:xVal>
          <c:yVal>
            <c:numRef>
              <c:f>drops!$G$7:$G$22</c:f>
              <c:numCache>
                <c:formatCode>0.0%</c:formatCode>
                <c:ptCount val="1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6.6167501137915335E-2</c:v>
                </c:pt>
                <c:pt idx="4">
                  <c:v>0.11117432862994994</c:v>
                </c:pt>
                <c:pt idx="5">
                  <c:v>0.17977696859353667</c:v>
                </c:pt>
                <c:pt idx="6">
                  <c:v>0.26673190714610834</c:v>
                </c:pt>
                <c:pt idx="7">
                  <c:v>0.36679563040509788</c:v>
                </c:pt>
                <c:pt idx="8">
                  <c:v>0.47472462448793817</c:v>
                </c:pt>
                <c:pt idx="9">
                  <c:v>0.58527537551206199</c:v>
                </c:pt>
                <c:pt idx="10">
                  <c:v>0.69320436959490228</c:v>
                </c:pt>
                <c:pt idx="11">
                  <c:v>0.79326809285389144</c:v>
                </c:pt>
                <c:pt idx="12">
                  <c:v>0.88022303140646341</c:v>
                </c:pt>
                <c:pt idx="13">
                  <c:v>0.94882567137005014</c:v>
                </c:pt>
                <c:pt idx="14">
                  <c:v>0.99383249886208491</c:v>
                </c:pt>
                <c:pt idx="15">
                  <c:v>1.01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B8-4441-9EBA-94E4D17F1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374751"/>
        <c:axId val="482378111"/>
      </c:scatterChart>
      <c:valAx>
        <c:axId val="482374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378111"/>
        <c:crosses val="autoZero"/>
        <c:crossBetween val="midCat"/>
      </c:valAx>
      <c:valAx>
        <c:axId val="48237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3747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4"/>
          <c:order val="3"/>
          <c:tx>
            <c:strRef>
              <c:f>player1!$J$4</c:f>
              <c:strCache>
                <c:ptCount val="1"/>
                <c:pt idx="0">
                  <c:v>PM25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player1!$E$5:$E$30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player1!$J$5:$J$30</c:f>
              <c:numCache>
                <c:formatCode>General</c:formatCode>
                <c:ptCount val="26"/>
                <c:pt idx="10" formatCode="0">
                  <c:v>101</c:v>
                </c:pt>
                <c:pt idx="11" formatCode="0">
                  <c:v>102.39430090009294</c:v>
                </c:pt>
                <c:pt idx="12" formatCode="0">
                  <c:v>103.78860180018589</c:v>
                </c:pt>
                <c:pt idx="13" formatCode="0">
                  <c:v>105.18290270027883</c:v>
                </c:pt>
                <c:pt idx="14" formatCode="0">
                  <c:v>106.57720360037177</c:v>
                </c:pt>
                <c:pt idx="15" formatCode="0">
                  <c:v>107.97150450046472</c:v>
                </c:pt>
                <c:pt idx="16" formatCode="0">
                  <c:v>109.36580540055766</c:v>
                </c:pt>
                <c:pt idx="17" formatCode="0">
                  <c:v>110.76010630065061</c:v>
                </c:pt>
                <c:pt idx="18" formatCode="0">
                  <c:v>112.15440720074355</c:v>
                </c:pt>
                <c:pt idx="19" formatCode="0">
                  <c:v>113.54870810083649</c:v>
                </c:pt>
                <c:pt idx="20" formatCode="0">
                  <c:v>114.94300900092944</c:v>
                </c:pt>
                <c:pt idx="21" formatCode="0">
                  <c:v>116.33730990102238</c:v>
                </c:pt>
                <c:pt idx="22" formatCode="0">
                  <c:v>117.73161080111532</c:v>
                </c:pt>
                <c:pt idx="23" formatCode="0">
                  <c:v>119.12591170120827</c:v>
                </c:pt>
                <c:pt idx="24" formatCode="0">
                  <c:v>120.52021260130121</c:v>
                </c:pt>
                <c:pt idx="25" formatCode="0">
                  <c:v>121.91451350139415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CD-4B88-831A-FC6289C4B3E0}"/>
            </c:ext>
          </c:extLst>
        </c:ser>
        <c:ser>
          <c:idx val="3"/>
          <c:order val="4"/>
          <c:tx>
            <c:strRef>
              <c:f>player1!$I$4</c:f>
              <c:strCache>
                <c:ptCount val="1"/>
                <c:pt idx="0">
                  <c:v>PM25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player1!$E$5:$E$30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player1!$I$5:$I$30</c:f>
              <c:numCache>
                <c:formatCode>General</c:formatCode>
                <c:ptCount val="26"/>
                <c:pt idx="10" formatCode="0">
                  <c:v>101</c:v>
                </c:pt>
                <c:pt idx="11" formatCode="0">
                  <c:v>99.665454852768178</c:v>
                </c:pt>
                <c:pt idx="12" formatCode="0">
                  <c:v>98.330909705536357</c:v>
                </c:pt>
                <c:pt idx="13" formatCode="0">
                  <c:v>96.996364558304535</c:v>
                </c:pt>
                <c:pt idx="14" formatCode="0">
                  <c:v>95.661819411072713</c:v>
                </c:pt>
                <c:pt idx="15" formatCode="0">
                  <c:v>94.327274263840891</c:v>
                </c:pt>
                <c:pt idx="16" formatCode="0">
                  <c:v>92.99272911660907</c:v>
                </c:pt>
                <c:pt idx="17" formatCode="0">
                  <c:v>91.658183969377248</c:v>
                </c:pt>
                <c:pt idx="18" formatCode="0">
                  <c:v>90.323638822145426</c:v>
                </c:pt>
                <c:pt idx="19" formatCode="0">
                  <c:v>88.989093674913605</c:v>
                </c:pt>
                <c:pt idx="20" formatCode="0">
                  <c:v>87.654548527681783</c:v>
                </c:pt>
                <c:pt idx="21" formatCode="0">
                  <c:v>86.320003380449961</c:v>
                </c:pt>
                <c:pt idx="22" formatCode="0">
                  <c:v>84.985458233218139</c:v>
                </c:pt>
                <c:pt idx="23" formatCode="0">
                  <c:v>83.650913085986318</c:v>
                </c:pt>
                <c:pt idx="24" formatCode="0">
                  <c:v>82.316367938754496</c:v>
                </c:pt>
                <c:pt idx="25" formatCode="0">
                  <c:v>80.981822791522674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CD-4B88-831A-FC6289C4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015535"/>
        <c:axId val="1432014575"/>
      </c:areaChart>
      <c:lineChart>
        <c:grouping val="standard"/>
        <c:varyColors val="0"/>
        <c:ser>
          <c:idx val="0"/>
          <c:order val="0"/>
          <c:tx>
            <c:strRef>
              <c:f>player1!$F$4</c:f>
              <c:strCache>
                <c:ptCount val="1"/>
                <c:pt idx="0">
                  <c:v>PM25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numRef>
              <c:f>player1!$E$5:$E$30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player1!$F$5:$F$30</c:f>
              <c:numCache>
                <c:formatCode>0</c:formatCode>
                <c:ptCount val="26"/>
                <c:pt idx="0">
                  <c:v>125.3</c:v>
                </c:pt>
                <c:pt idx="1">
                  <c:v>133.30000000000001</c:v>
                </c:pt>
                <c:pt idx="2">
                  <c:v>117.2</c:v>
                </c:pt>
                <c:pt idx="3">
                  <c:v>120</c:v>
                </c:pt>
                <c:pt idx="4">
                  <c:v>105</c:v>
                </c:pt>
                <c:pt idx="5">
                  <c:v>93</c:v>
                </c:pt>
                <c:pt idx="6">
                  <c:v>106</c:v>
                </c:pt>
                <c:pt idx="7">
                  <c:v>99.7</c:v>
                </c:pt>
                <c:pt idx="8">
                  <c:v>103.34622349999999</c:v>
                </c:pt>
                <c:pt idx="9">
                  <c:v>101.563939</c:v>
                </c:pt>
                <c:pt idx="1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D-4B88-831A-FC6289C4B3E0}"/>
            </c:ext>
          </c:extLst>
        </c:ser>
        <c:ser>
          <c:idx val="1"/>
          <c:order val="1"/>
          <c:tx>
            <c:strRef>
              <c:f>player1!$G$4</c:f>
              <c:strCache>
                <c:ptCount val="1"/>
                <c:pt idx="0">
                  <c:v>PM25</c:v>
                </c:pt>
              </c:strCache>
            </c:strRef>
          </c:tx>
          <c:spPr>
            <a:ln w="3810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cat>
            <c:numRef>
              <c:f>player1!$E$5:$E$30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player1!$G$5:$G$30</c:f>
              <c:numCache>
                <c:formatCode>General</c:formatCode>
                <c:ptCount val="26"/>
                <c:pt idx="10">
                  <c:v>100</c:v>
                </c:pt>
                <c:pt idx="11" formatCode="0">
                  <c:v>98.853575700434632</c:v>
                </c:pt>
                <c:pt idx="12" formatCode="0">
                  <c:v>97.707151400869279</c:v>
                </c:pt>
                <c:pt idx="13" formatCode="0">
                  <c:v>96.207198442698754</c:v>
                </c:pt>
                <c:pt idx="14" formatCode="0">
                  <c:v>93.627352408538002</c:v>
                </c:pt>
                <c:pt idx="15" formatCode="0">
                  <c:v>89.694965735108525</c:v>
                </c:pt>
                <c:pt idx="16" formatCode="0">
                  <c:v>84.710603008914461</c:v>
                </c:pt>
                <c:pt idx="17" formatCode="0">
                  <c:v>78.97482881645999</c:v>
                </c:pt>
                <c:pt idx="18" formatCode="0">
                  <c:v>72.788207744249277</c:v>
                </c:pt>
                <c:pt idx="19" formatCode="0">
                  <c:v>66.451304378786475</c:v>
                </c:pt>
                <c:pt idx="20" formatCode="0">
                  <c:v>60.264683306575755</c:v>
                </c:pt>
                <c:pt idx="21" formatCode="0">
                  <c:v>54.528909114121305</c:v>
                </c:pt>
                <c:pt idx="22" formatCode="0">
                  <c:v>49.544546387927234</c:v>
                </c:pt>
                <c:pt idx="23" formatCode="0">
                  <c:v>45.61215971449775</c:v>
                </c:pt>
                <c:pt idx="24" formatCode="0">
                  <c:v>43.032313680336998</c:v>
                </c:pt>
                <c:pt idx="25" formatCode="0">
                  <c:v>42.105572871949171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D-4B88-831A-FC6289C4B3E0}"/>
            </c:ext>
          </c:extLst>
        </c:ser>
        <c:ser>
          <c:idx val="2"/>
          <c:order val="2"/>
          <c:tx>
            <c:strRef>
              <c:f>player1!$H$4</c:f>
              <c:strCache>
                <c:ptCount val="1"/>
                <c:pt idx="0">
                  <c:v>Stand</c:v>
                </c:pt>
              </c:strCache>
            </c:strRef>
          </c:tx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player1!$E$5:$E$30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player1!$H$5:$H$30</c:f>
              <c:numCache>
                <c:formatCode>General</c:formatCode>
                <c:ptCount val="26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CD-4B88-831A-FC6289C4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015535"/>
        <c:axId val="1432014575"/>
      </c:lineChart>
      <c:catAx>
        <c:axId val="143201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014575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320145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/>
                  <a:t>Delhi Annual Average PM</a:t>
                </a:r>
                <a:r>
                  <a:rPr lang="en-IN" sz="1400" baseline="-25000"/>
                  <a:t>2.5</a:t>
                </a:r>
                <a:r>
                  <a:rPr lang="en-IN" sz="1400"/>
                  <a:t> Concentration (</a:t>
                </a:r>
                <a:r>
                  <a:rPr lang="en-IN" sz="1400">
                    <a:latin typeface="Symbol" panose="05050102010706020507" pitchFamily="18" charset="2"/>
                  </a:rPr>
                  <a:t>m</a:t>
                </a:r>
                <a:r>
                  <a:rPr lang="en-IN" sz="1400"/>
                  <a:t>g/m</a:t>
                </a:r>
                <a:r>
                  <a:rPr lang="en-IN" sz="1400" baseline="30000"/>
                  <a:t>3</a:t>
                </a:r>
                <a:r>
                  <a:rPr lang="en-IN" sz="1400"/>
                  <a:t>)</a:t>
                </a:r>
              </a:p>
            </c:rich>
          </c:tx>
          <c:layout>
            <c:manualLayout>
              <c:xMode val="edge"/>
              <c:yMode val="edge"/>
              <c:x val="8.6535133264105234E-3"/>
              <c:y val="9.52186653524204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01553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4"/>
          <c:order val="3"/>
          <c:tx>
            <c:strRef>
              <c:f>player2!$AD$12</c:f>
              <c:strCache>
                <c:ptCount val="1"/>
                <c:pt idx="0">
                  <c:v>PM25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player2!$Y$13:$Y$38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player2!$AD$13:$AD$38</c:f>
              <c:numCache>
                <c:formatCode>General</c:formatCode>
                <c:ptCount val="26"/>
                <c:pt idx="10" formatCode="0">
                  <c:v>100</c:v>
                </c:pt>
                <c:pt idx="11" formatCode="0">
                  <c:v>102.39430090009294</c:v>
                </c:pt>
                <c:pt idx="12" formatCode="0">
                  <c:v>103.78860180018589</c:v>
                </c:pt>
                <c:pt idx="13" formatCode="0">
                  <c:v>105.18290270027883</c:v>
                </c:pt>
                <c:pt idx="14" formatCode="0">
                  <c:v>106.57720360037177</c:v>
                </c:pt>
                <c:pt idx="15" formatCode="0">
                  <c:v>107.97150450046472</c:v>
                </c:pt>
                <c:pt idx="16" formatCode="0">
                  <c:v>109.36580540055766</c:v>
                </c:pt>
                <c:pt idx="17" formatCode="0">
                  <c:v>110.76010630065061</c:v>
                </c:pt>
                <c:pt idx="18" formatCode="0">
                  <c:v>112.15440720074355</c:v>
                </c:pt>
                <c:pt idx="19" formatCode="0">
                  <c:v>113.54870810083649</c:v>
                </c:pt>
                <c:pt idx="20" formatCode="0">
                  <c:v>114.94300900092944</c:v>
                </c:pt>
                <c:pt idx="21" formatCode="0">
                  <c:v>116.33730990102238</c:v>
                </c:pt>
                <c:pt idx="22" formatCode="0">
                  <c:v>117.73161080111532</c:v>
                </c:pt>
                <c:pt idx="23" formatCode="0">
                  <c:v>119.12591170120827</c:v>
                </c:pt>
                <c:pt idx="24" formatCode="0">
                  <c:v>120.52021260130121</c:v>
                </c:pt>
                <c:pt idx="25" formatCode="0">
                  <c:v>121.91451350139415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D-42ED-90DC-BD66A7E44383}"/>
            </c:ext>
          </c:extLst>
        </c:ser>
        <c:ser>
          <c:idx val="3"/>
          <c:order val="4"/>
          <c:tx>
            <c:strRef>
              <c:f>player2!$AC$12</c:f>
              <c:strCache>
                <c:ptCount val="1"/>
                <c:pt idx="0">
                  <c:v>PM25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player2!$Y$13:$Y$38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player2!$AC$13:$AC$38</c:f>
              <c:numCache>
                <c:formatCode>General</c:formatCode>
                <c:ptCount val="26"/>
                <c:pt idx="10" formatCode="0">
                  <c:v>100</c:v>
                </c:pt>
                <c:pt idx="11" formatCode="0">
                  <c:v>99</c:v>
                </c:pt>
                <c:pt idx="12" formatCode="0">
                  <c:v>98.330909705536357</c:v>
                </c:pt>
                <c:pt idx="13" formatCode="0">
                  <c:v>96.996364558304535</c:v>
                </c:pt>
                <c:pt idx="14" formatCode="0">
                  <c:v>95.661819411072713</c:v>
                </c:pt>
                <c:pt idx="15" formatCode="0">
                  <c:v>94.327274263840891</c:v>
                </c:pt>
                <c:pt idx="16" formatCode="0">
                  <c:v>92.99272911660907</c:v>
                </c:pt>
                <c:pt idx="17" formatCode="0">
                  <c:v>91.658183969377248</c:v>
                </c:pt>
                <c:pt idx="18" formatCode="0">
                  <c:v>90.323638822145426</c:v>
                </c:pt>
                <c:pt idx="19" formatCode="0">
                  <c:v>88.989093674913605</c:v>
                </c:pt>
                <c:pt idx="20" formatCode="0">
                  <c:v>87.654548527681783</c:v>
                </c:pt>
                <c:pt idx="21" formatCode="0">
                  <c:v>86.320003380449961</c:v>
                </c:pt>
                <c:pt idx="22" formatCode="0">
                  <c:v>84.985458233218139</c:v>
                </c:pt>
                <c:pt idx="23" formatCode="0">
                  <c:v>83.650913085986318</c:v>
                </c:pt>
                <c:pt idx="24" formatCode="0">
                  <c:v>82.316367938754496</c:v>
                </c:pt>
                <c:pt idx="25" formatCode="0">
                  <c:v>80.981822791522674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5D-42ED-90DC-BD66A7E44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015535"/>
        <c:axId val="1432014575"/>
      </c:areaChart>
      <c:lineChart>
        <c:grouping val="standard"/>
        <c:varyColors val="0"/>
        <c:ser>
          <c:idx val="0"/>
          <c:order val="0"/>
          <c:tx>
            <c:strRef>
              <c:f>player2!$Z$12</c:f>
              <c:strCache>
                <c:ptCount val="1"/>
                <c:pt idx="0">
                  <c:v>PM25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numRef>
              <c:f>player2!$Y$13:$Y$38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player2!$Z$13:$Z$38</c:f>
              <c:numCache>
                <c:formatCode>0</c:formatCode>
                <c:ptCount val="26"/>
                <c:pt idx="0">
                  <c:v>125.3</c:v>
                </c:pt>
                <c:pt idx="1">
                  <c:v>133.30000000000001</c:v>
                </c:pt>
                <c:pt idx="2">
                  <c:v>117.2</c:v>
                </c:pt>
                <c:pt idx="3">
                  <c:v>120</c:v>
                </c:pt>
                <c:pt idx="4">
                  <c:v>105</c:v>
                </c:pt>
                <c:pt idx="5">
                  <c:v>93</c:v>
                </c:pt>
                <c:pt idx="6">
                  <c:v>106</c:v>
                </c:pt>
                <c:pt idx="7">
                  <c:v>99.7</c:v>
                </c:pt>
                <c:pt idx="8">
                  <c:v>103.34622349999999</c:v>
                </c:pt>
                <c:pt idx="9">
                  <c:v>101.563939</c:v>
                </c:pt>
                <c:pt idx="1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5D-42ED-90DC-BD66A7E44383}"/>
            </c:ext>
          </c:extLst>
        </c:ser>
        <c:ser>
          <c:idx val="1"/>
          <c:order val="1"/>
          <c:tx>
            <c:strRef>
              <c:f>player2!$AA$12</c:f>
              <c:strCache>
                <c:ptCount val="1"/>
                <c:pt idx="0">
                  <c:v>PM25</c:v>
                </c:pt>
              </c:strCache>
            </c:strRef>
          </c:tx>
          <c:spPr>
            <a:ln w="3810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cat>
            <c:numRef>
              <c:f>player2!$Y$13:$Y$38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player2!$AA$13:$AA$38</c:f>
              <c:numCache>
                <c:formatCode>General</c:formatCode>
                <c:ptCount val="26"/>
                <c:pt idx="10">
                  <c:v>100</c:v>
                </c:pt>
                <c:pt idx="11" formatCode="0">
                  <c:v>100</c:v>
                </c:pt>
                <c:pt idx="12" formatCode="0">
                  <c:v>98.791201001432825</c:v>
                </c:pt>
                <c:pt idx="13" formatCode="0">
                  <c:v>97.582402002865649</c:v>
                </c:pt>
                <c:pt idx="14" formatCode="0">
                  <c:v>96.000839544339783</c:v>
                </c:pt>
                <c:pt idx="15" formatCode="0">
                  <c:v>93.280629144286934</c:v>
                </c:pt>
                <c:pt idx="16" formatCode="0">
                  <c:v>89.134289019934528</c:v>
                </c:pt>
                <c:pt idx="17" formatCode="0">
                  <c:v>83.878736887793593</c:v>
                </c:pt>
                <c:pt idx="18" formatCode="0">
                  <c:v>77.83089046437513</c:v>
                </c:pt>
                <c:pt idx="19" formatCode="0">
                  <c:v>71.307667466190139</c:v>
                </c:pt>
                <c:pt idx="20" formatCode="0">
                  <c:v>64.625985609749648</c:v>
                </c:pt>
                <c:pt idx="21" formatCode="0">
                  <c:v>58.102762611564664</c:v>
                </c:pt>
                <c:pt idx="22" formatCode="0">
                  <c:v>52.054916188146223</c:v>
                </c:pt>
                <c:pt idx="23" formatCode="0">
                  <c:v>46.799364056005267</c:v>
                </c:pt>
                <c:pt idx="24" formatCode="0">
                  <c:v>42.653023931652868</c:v>
                </c:pt>
                <c:pt idx="25" formatCode="0">
                  <c:v>39.932813531600011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5D-42ED-90DC-BD66A7E44383}"/>
            </c:ext>
          </c:extLst>
        </c:ser>
        <c:ser>
          <c:idx val="2"/>
          <c:order val="2"/>
          <c:tx>
            <c:strRef>
              <c:f>player2!$AB$12</c:f>
              <c:strCache>
                <c:ptCount val="1"/>
                <c:pt idx="0">
                  <c:v>Stand</c:v>
                </c:pt>
              </c:strCache>
            </c:strRef>
          </c:tx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player2!$Y$13:$Y$38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player2!$AB$13:$AB$38</c:f>
              <c:numCache>
                <c:formatCode>General</c:formatCode>
                <c:ptCount val="26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5D-42ED-90DC-BD66A7E44383}"/>
            </c:ext>
          </c:extLst>
        </c:ser>
        <c:ser>
          <c:idx val="5"/>
          <c:order val="5"/>
          <c:spPr>
            <a:ln w="381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player2!$Y$13:$Y$38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player2!$AE$13:$AE$38</c:f>
              <c:numCache>
                <c:formatCode>General</c:formatCode>
                <c:ptCount val="26"/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5D-42ED-90DC-BD66A7E44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015535"/>
        <c:axId val="1432014575"/>
      </c:lineChart>
      <c:catAx>
        <c:axId val="143201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014575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320145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/>
                  <a:t>Delhi Annual Average PM</a:t>
                </a:r>
                <a:r>
                  <a:rPr lang="en-IN" sz="1400" baseline="-25000"/>
                  <a:t>2.5</a:t>
                </a:r>
                <a:r>
                  <a:rPr lang="en-IN" sz="1400"/>
                  <a:t> Concentration (</a:t>
                </a:r>
                <a:r>
                  <a:rPr lang="en-IN" sz="1400">
                    <a:latin typeface="Symbol" panose="05050102010706020507" pitchFamily="18" charset="2"/>
                  </a:rPr>
                  <a:t>m</a:t>
                </a:r>
                <a:r>
                  <a:rPr lang="en-IN" sz="1400"/>
                  <a:t>g/m</a:t>
                </a:r>
                <a:r>
                  <a:rPr lang="en-IN" sz="1400" baseline="30000"/>
                  <a:t>3</a:t>
                </a:r>
                <a:r>
                  <a:rPr lang="en-IN" sz="1400"/>
                  <a:t>)</a:t>
                </a:r>
              </a:p>
            </c:rich>
          </c:tx>
          <c:layout>
            <c:manualLayout>
              <c:xMode val="edge"/>
              <c:yMode val="edge"/>
              <c:x val="8.6535133264105234E-3"/>
              <c:y val="9.52186653524204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01553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player2!$AI$5</c:f>
              <c:strCache>
                <c:ptCount val="1"/>
                <c:pt idx="0">
                  <c:v>TRAN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player2!$AJ$4:$AK$4</c:f>
              <c:strCache>
                <c:ptCount val="2"/>
                <c:pt idx="0">
                  <c:v>BASE2040</c:v>
                </c:pt>
                <c:pt idx="1">
                  <c:v>CONTROL</c:v>
                </c:pt>
              </c:strCache>
            </c:strRef>
          </c:cat>
          <c:val>
            <c:numRef>
              <c:f>player2!$AJ$5:$AK$5</c:f>
              <c:numCache>
                <c:formatCode>0.0</c:formatCode>
                <c:ptCount val="2"/>
                <c:pt idx="0">
                  <c:v>26.275326928879924</c:v>
                </c:pt>
                <c:pt idx="1">
                  <c:v>11.823897117995964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E-40A3-B0E6-3CDB70C3C289}"/>
            </c:ext>
          </c:extLst>
        </c:ser>
        <c:ser>
          <c:idx val="1"/>
          <c:order val="1"/>
          <c:tx>
            <c:strRef>
              <c:f>player2!$AI$6</c:f>
              <c:strCache>
                <c:ptCount val="1"/>
                <c:pt idx="0">
                  <c:v>DUST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player2!$AJ$4:$AK$4</c:f>
              <c:strCache>
                <c:ptCount val="2"/>
                <c:pt idx="0">
                  <c:v>BASE2040</c:v>
                </c:pt>
                <c:pt idx="1">
                  <c:v>CONTROL</c:v>
                </c:pt>
              </c:strCache>
            </c:strRef>
          </c:cat>
          <c:val>
            <c:numRef>
              <c:f>player2!$AJ$6:$AK$6</c:f>
              <c:numCache>
                <c:formatCode>0.0</c:formatCode>
                <c:ptCount val="2"/>
                <c:pt idx="0">
                  <c:v>9.0086835184731182</c:v>
                </c:pt>
                <c:pt idx="1">
                  <c:v>4.0539075833129026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E-40A3-B0E6-3CDB70C3C289}"/>
            </c:ext>
          </c:extLst>
        </c:ser>
        <c:ser>
          <c:idx val="2"/>
          <c:order val="2"/>
          <c:tx>
            <c:strRef>
              <c:f>player2!$AI$7</c:f>
              <c:strCache>
                <c:ptCount val="1"/>
                <c:pt idx="0">
                  <c:v>COOK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player2!$AJ$4:$AK$4</c:f>
              <c:strCache>
                <c:ptCount val="2"/>
                <c:pt idx="0">
                  <c:v>BASE2040</c:v>
                </c:pt>
                <c:pt idx="1">
                  <c:v>CONTROL</c:v>
                </c:pt>
              </c:strCache>
            </c:strRef>
          </c:cat>
          <c:val>
            <c:numRef>
              <c:f>player2!$AJ$7:$AK$7</c:f>
              <c:numCache>
                <c:formatCode>0.0</c:formatCode>
                <c:ptCount val="2"/>
                <c:pt idx="0">
                  <c:v>11.260854398091398</c:v>
                </c:pt>
                <c:pt idx="1">
                  <c:v>5.0673844791411291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E-40A3-B0E6-3CDB70C3C289}"/>
            </c:ext>
          </c:extLst>
        </c:ser>
        <c:ser>
          <c:idx val="3"/>
          <c:order val="3"/>
          <c:tx>
            <c:strRef>
              <c:f>player2!$AI$8</c:f>
              <c:strCache>
                <c:ptCount val="1"/>
                <c:pt idx="0">
                  <c:v>HEAT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player2!$AJ$4:$AK$4</c:f>
              <c:strCache>
                <c:ptCount val="2"/>
                <c:pt idx="0">
                  <c:v>BASE2040</c:v>
                </c:pt>
                <c:pt idx="1">
                  <c:v>CONTROL</c:v>
                </c:pt>
              </c:strCache>
            </c:strRef>
          </c:cat>
          <c:val>
            <c:numRef>
              <c:f>player2!$AJ$8:$AK$8</c:f>
              <c:numCache>
                <c:formatCode>0.0</c:formatCode>
                <c:ptCount val="2"/>
                <c:pt idx="0">
                  <c:v>18.830577191894459</c:v>
                </c:pt>
                <c:pt idx="1">
                  <c:v>8.4737597363525055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5E-40A3-B0E6-3CDB70C3C289}"/>
            </c:ext>
          </c:extLst>
        </c:ser>
        <c:ser>
          <c:idx val="4"/>
          <c:order val="4"/>
          <c:tx>
            <c:strRef>
              <c:f>player2!$AI$9</c:f>
              <c:strCache>
                <c:ptCount val="1"/>
                <c:pt idx="0">
                  <c:v>INDI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player2!$AJ$4:$AK$4</c:f>
              <c:strCache>
                <c:ptCount val="2"/>
                <c:pt idx="0">
                  <c:v>BASE2040</c:v>
                </c:pt>
                <c:pt idx="1">
                  <c:v>CONTROL</c:v>
                </c:pt>
              </c:strCache>
            </c:strRef>
          </c:cat>
          <c:val>
            <c:numRef>
              <c:f>player2!$AJ$9:$AK$9</c:f>
              <c:numCache>
                <c:formatCode>0.0</c:formatCode>
                <c:ptCount val="2"/>
                <c:pt idx="0">
                  <c:v>15.014472530788536</c:v>
                </c:pt>
                <c:pt idx="1">
                  <c:v>6.7565126388548409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5E-40A3-B0E6-3CDB70C3C289}"/>
            </c:ext>
          </c:extLst>
        </c:ser>
        <c:ser>
          <c:idx val="5"/>
          <c:order val="5"/>
          <c:tx>
            <c:strRef>
              <c:f>player2!$AI$10</c:f>
              <c:strCache>
                <c:ptCount val="1"/>
                <c:pt idx="0">
                  <c:v>WAST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player2!$AJ$4:$AK$4</c:f>
              <c:strCache>
                <c:ptCount val="2"/>
                <c:pt idx="0">
                  <c:v>BASE2040</c:v>
                </c:pt>
                <c:pt idx="1">
                  <c:v>CONTROL</c:v>
                </c:pt>
              </c:strCache>
            </c:strRef>
          </c:cat>
          <c:val>
            <c:numRef>
              <c:f>player2!$AJ$10:$AK$10</c:f>
              <c:numCache>
                <c:formatCode>0.0</c:formatCode>
                <c:ptCount val="2"/>
                <c:pt idx="0">
                  <c:v>9.0086835184731182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5E-40A3-B0E6-3CDB70C3C289}"/>
            </c:ext>
          </c:extLst>
        </c:ser>
        <c:ser>
          <c:idx val="6"/>
          <c:order val="6"/>
          <c:tx>
            <c:strRef>
              <c:f>player2!$AI$11</c:f>
              <c:strCache>
                <c:ptCount val="1"/>
                <c:pt idx="0">
                  <c:v>STUB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player2!$AJ$4:$AK$4</c:f>
              <c:strCache>
                <c:ptCount val="2"/>
                <c:pt idx="0">
                  <c:v>BASE2040</c:v>
                </c:pt>
                <c:pt idx="1">
                  <c:v>CONTROL</c:v>
                </c:pt>
              </c:strCache>
            </c:strRef>
          </c:cat>
          <c:val>
            <c:numRef>
              <c:f>player2!$AJ$11:$AK$11</c:f>
              <c:numCache>
                <c:formatCode>0.0</c:formatCode>
                <c:ptCount val="2"/>
                <c:pt idx="0">
                  <c:v>4.7394254298353573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5E-40A3-B0E6-3CDB70C3C289}"/>
            </c:ext>
          </c:extLst>
        </c:ser>
        <c:ser>
          <c:idx val="7"/>
          <c:order val="7"/>
          <c:tx>
            <c:strRef>
              <c:f>player2!$AI$12</c:f>
              <c:strCache>
                <c:ptCount val="1"/>
                <c:pt idx="0">
                  <c:v>OTHR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player2!$AJ$4:$AK$4</c:f>
              <c:strCache>
                <c:ptCount val="2"/>
                <c:pt idx="0">
                  <c:v>BASE2040</c:v>
                </c:pt>
                <c:pt idx="1">
                  <c:v>CONTROL</c:v>
                </c:pt>
              </c:strCache>
            </c:strRef>
          </c:cat>
          <c:val>
            <c:numRef>
              <c:f>player2!$AJ$12:$AK$12</c:f>
              <c:numCache>
                <c:formatCode>0.0</c:formatCode>
                <c:ptCount val="2"/>
                <c:pt idx="0">
                  <c:v>4.5043417592365547</c:v>
                </c:pt>
                <c:pt idx="1">
                  <c:v>2.0269537916564495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5E-40A3-B0E6-3CDB70C3C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8424671"/>
        <c:axId val="1158435231"/>
      </c:barChart>
      <c:catAx>
        <c:axId val="1158424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Rockwell" panose="02060603020205020403" pitchFamily="18" charset="0"/>
                <a:ea typeface="+mn-ea"/>
                <a:cs typeface="+mn-cs"/>
              </a:defRPr>
            </a:pPr>
            <a:endParaRPr lang="en-US"/>
          </a:p>
        </c:txPr>
        <c:crossAx val="1158435231"/>
        <c:crosses val="autoZero"/>
        <c:auto val="1"/>
        <c:lblAlgn val="ctr"/>
        <c:lblOffset val="100"/>
        <c:noMultiLvlLbl val="0"/>
      </c:catAx>
      <c:valAx>
        <c:axId val="115843523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Rockwell" panose="02060603020205020403" pitchFamily="18" charset="0"/>
                <a:ea typeface="+mn-ea"/>
                <a:cs typeface="+mn-cs"/>
              </a:defRPr>
            </a:pPr>
            <a:endParaRPr lang="en-US"/>
          </a:p>
        </c:txPr>
        <c:crossAx val="1158424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872323132903843"/>
          <c:y val="1.5450127689934347E-2"/>
          <c:w val="0.2112767686709616"/>
          <c:h val="0.46056079296488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Rockwell" panose="020606030202050204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Rockwell" panose="020606030202050204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6" fmlaLink="$C$15" horiz="1" max="75" page="10" val="55"/>
</file>

<file path=xl/ctrlProps/ctrlProp10.xml><?xml version="1.0" encoding="utf-8"?>
<formControlPr xmlns="http://schemas.microsoft.com/office/spreadsheetml/2009/9/main" objectType="Scroll" dx="26" fmlaLink="$C$8" horiz="1" max="100" page="10" val="100"/>
</file>

<file path=xl/ctrlProps/ctrlProp11.xml><?xml version="1.0" encoding="utf-8"?>
<formControlPr xmlns="http://schemas.microsoft.com/office/spreadsheetml/2009/9/main" objectType="Scroll" dx="26" fmlaLink="$C$9" horiz="1" max="100" page="10" val="100"/>
</file>

<file path=xl/ctrlProps/ctrlProp12.xml><?xml version="1.0" encoding="utf-8"?>
<formControlPr xmlns="http://schemas.microsoft.com/office/spreadsheetml/2009/9/main" objectType="Scroll" dx="26" fmlaLink="$C$10" horiz="1" max="75" page="10" val="55"/>
</file>

<file path=xl/ctrlProps/ctrlProp13.xml><?xml version="1.0" encoding="utf-8"?>
<formControlPr xmlns="http://schemas.microsoft.com/office/spreadsheetml/2009/9/main" objectType="Scroll" dx="26" fmlaLink="$C$1" horiz="1" max="100" page="10" val="20"/>
</file>

<file path=xl/ctrlProps/ctrlProp14.xml><?xml version="1.0" encoding="utf-8"?>
<formControlPr xmlns="http://schemas.microsoft.com/office/spreadsheetml/2009/9/main" objectType="Scroll" dx="26" fmlaLink="$C$3" horiz="1" max="75" page="10" val="55"/>
</file>

<file path=xl/ctrlProps/ctrlProp15.xml><?xml version="1.0" encoding="utf-8"?>
<formControlPr xmlns="http://schemas.microsoft.com/office/spreadsheetml/2009/9/main" objectType="Scroll" dx="26" fmlaLink="$C$4" horiz="1" max="75" page="10" val="55"/>
</file>

<file path=xl/ctrlProps/ctrlProp16.xml><?xml version="1.0" encoding="utf-8"?>
<formControlPr xmlns="http://schemas.microsoft.com/office/spreadsheetml/2009/9/main" objectType="Scroll" dx="26" fmlaLink="$C$5" horiz="1" max="75" page="10" val="55"/>
</file>

<file path=xl/ctrlProps/ctrlProp17.xml><?xml version="1.0" encoding="utf-8"?>
<formControlPr xmlns="http://schemas.microsoft.com/office/spreadsheetml/2009/9/main" objectType="Scroll" dx="26" fmlaLink="$C$6" horiz="1" max="75" page="10" val="75"/>
</file>

<file path=xl/ctrlProps/ctrlProp18.xml><?xml version="1.0" encoding="utf-8"?>
<formControlPr xmlns="http://schemas.microsoft.com/office/spreadsheetml/2009/9/main" objectType="Scroll" dx="26" fmlaLink="$C$7" horiz="1" max="75" page="10" val="50"/>
</file>

<file path=xl/ctrlProps/ctrlProp19.xml><?xml version="1.0" encoding="utf-8"?>
<formControlPr xmlns="http://schemas.microsoft.com/office/spreadsheetml/2009/9/main" objectType="Scroll" dx="26" fmlaLink="$C$8" horiz="1" max="100" page="10" val="50"/>
</file>

<file path=xl/ctrlProps/ctrlProp2.xml><?xml version="1.0" encoding="utf-8"?>
<formControlPr xmlns="http://schemas.microsoft.com/office/spreadsheetml/2009/9/main" objectType="Scroll" dx="26" fmlaLink="$C$16" horiz="1" max="75" page="10" val="65"/>
</file>

<file path=xl/ctrlProps/ctrlProp20.xml><?xml version="1.0" encoding="utf-8"?>
<formControlPr xmlns="http://schemas.microsoft.com/office/spreadsheetml/2009/9/main" objectType="Scroll" dx="26" fmlaLink="$C$9" horiz="1" max="100" page="10" val="100"/>
</file>

<file path=xl/ctrlProps/ctrlProp21.xml><?xml version="1.0" encoding="utf-8"?>
<formControlPr xmlns="http://schemas.microsoft.com/office/spreadsheetml/2009/9/main" objectType="Scroll" dx="26" fmlaLink="$C$10" horiz="1" max="75" page="10" val="75"/>
</file>

<file path=xl/ctrlProps/ctrlProp3.xml><?xml version="1.0" encoding="utf-8"?>
<formControlPr xmlns="http://schemas.microsoft.com/office/spreadsheetml/2009/9/main" objectType="Scroll" dx="26" fmlaLink="$C$17" horiz="1" max="100" page="10" val="80"/>
</file>

<file path=xl/ctrlProps/ctrlProp4.xml><?xml version="1.0" encoding="utf-8"?>
<formControlPr xmlns="http://schemas.microsoft.com/office/spreadsheetml/2009/9/main" objectType="Scroll" dx="26" fmlaLink="player2!$C$1" horiz="1" max="100" page="10" val="20"/>
</file>

<file path=xl/ctrlProps/ctrlProp5.xml><?xml version="1.0" encoding="utf-8"?>
<formControlPr xmlns="http://schemas.microsoft.com/office/spreadsheetml/2009/9/main" objectType="Scroll" dx="26" fmlaLink="$C$3" horiz="1" max="75" page="10" val="55"/>
</file>

<file path=xl/ctrlProps/ctrlProp6.xml><?xml version="1.0" encoding="utf-8"?>
<formControlPr xmlns="http://schemas.microsoft.com/office/spreadsheetml/2009/9/main" objectType="Scroll" dx="26" fmlaLink="$C$4" horiz="1" max="75" page="10" val="55"/>
</file>

<file path=xl/ctrlProps/ctrlProp7.xml><?xml version="1.0" encoding="utf-8"?>
<formControlPr xmlns="http://schemas.microsoft.com/office/spreadsheetml/2009/9/main" objectType="Scroll" dx="26" fmlaLink="$C$5" horiz="1" max="75" page="10" val="55"/>
</file>

<file path=xl/ctrlProps/ctrlProp8.xml><?xml version="1.0" encoding="utf-8"?>
<formControlPr xmlns="http://schemas.microsoft.com/office/spreadsheetml/2009/9/main" objectType="Scroll" dx="26" fmlaLink="$C$6" horiz="1" max="75" page="10" val="55"/>
</file>

<file path=xl/ctrlProps/ctrlProp9.xml><?xml version="1.0" encoding="utf-8"?>
<formControlPr xmlns="http://schemas.microsoft.com/office/spreadsheetml/2009/9/main" objectType="Scroll" dx="26" fmlaLink="$C$7" horiz="1" max="75" page="10" val="55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358140</xdr:colOff>
      <xdr:row>2</xdr:row>
      <xdr:rowOff>53340</xdr:rowOff>
    </xdr:from>
    <xdr:to>
      <xdr:col>31</xdr:col>
      <xdr:colOff>556260</xdr:colOff>
      <xdr:row>19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8D3968-71C3-AE48-76DC-82CB8A3B2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403860</xdr:colOff>
      <xdr:row>20</xdr:row>
      <xdr:rowOff>0</xdr:rowOff>
    </xdr:from>
    <xdr:to>
      <xdr:col>31</xdr:col>
      <xdr:colOff>601980</xdr:colOff>
      <xdr:row>39</xdr:row>
      <xdr:rowOff>106680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B3F197-D6B1-4805-B0E1-A9709EC01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373380</xdr:colOff>
      <xdr:row>38</xdr:row>
      <xdr:rowOff>110490</xdr:rowOff>
    </xdr:from>
    <xdr:to>
      <xdr:col>16</xdr:col>
      <xdr:colOff>350520</xdr:colOff>
      <xdr:row>63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EC9C94-D3C9-472F-99CD-B1C19A3F4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213360</xdr:colOff>
      <xdr:row>38</xdr:row>
      <xdr:rowOff>15240</xdr:rowOff>
    </xdr:from>
    <xdr:to>
      <xdr:col>7</xdr:col>
      <xdr:colOff>38100</xdr:colOff>
      <xdr:row>63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5FD9BC-352F-4CC0-BFB0-56BDBB998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281940</xdr:colOff>
      <xdr:row>38</xdr:row>
      <xdr:rowOff>15240</xdr:rowOff>
    </xdr:from>
    <xdr:to>
      <xdr:col>24</xdr:col>
      <xdr:colOff>106680</xdr:colOff>
      <xdr:row>63</xdr:row>
      <xdr:rowOff>15240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42A069-31B1-4312-BF03-9EC0ADF8AF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259080</xdr:colOff>
      <xdr:row>1</xdr:row>
      <xdr:rowOff>171450</xdr:rowOff>
    </xdr:from>
    <xdr:to>
      <xdr:col>18</xdr:col>
      <xdr:colOff>205740</xdr:colOff>
      <xdr:row>16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8968A9-91F7-D3EF-8A87-4AC7C4022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</xdr:row>
          <xdr:rowOff>160020</xdr:rowOff>
        </xdr:from>
        <xdr:to>
          <xdr:col>2</xdr:col>
          <xdr:colOff>1165860</xdr:colOff>
          <xdr:row>14</xdr:row>
          <xdr:rowOff>175260</xdr:rowOff>
        </xdr:to>
        <xdr:sp macro="" textlink="">
          <xdr:nvSpPr>
            <xdr:cNvPr id="8193" name="Scroll Bar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14</xdr:row>
          <xdr:rowOff>160020</xdr:rowOff>
        </xdr:from>
        <xdr:to>
          <xdr:col>2</xdr:col>
          <xdr:colOff>1165860</xdr:colOff>
          <xdr:row>15</xdr:row>
          <xdr:rowOff>175260</xdr:rowOff>
        </xdr:to>
        <xdr:sp macro="" textlink="">
          <xdr:nvSpPr>
            <xdr:cNvPr id="8194" name="Scroll Bar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15</xdr:row>
          <xdr:rowOff>152400</xdr:rowOff>
        </xdr:from>
        <xdr:to>
          <xdr:col>2</xdr:col>
          <xdr:colOff>1173480</xdr:colOff>
          <xdr:row>16</xdr:row>
          <xdr:rowOff>167640</xdr:rowOff>
        </xdr:to>
        <xdr:sp macro="" textlink="">
          <xdr:nvSpPr>
            <xdr:cNvPr id="8195" name="Scroll Bar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3</xdr:col>
      <xdr:colOff>22860</xdr:colOff>
      <xdr:row>3</xdr:row>
      <xdr:rowOff>7620</xdr:rowOff>
    </xdr:from>
    <xdr:to>
      <xdr:col>16</xdr:col>
      <xdr:colOff>167640</xdr:colOff>
      <xdr:row>31</xdr:row>
      <xdr:rowOff>121920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9DF622-F330-BE16-ED09-F102BB8E3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2</xdr:col>
          <xdr:colOff>1158240</xdr:colOff>
          <xdr:row>12</xdr:row>
          <xdr:rowOff>15240</xdr:rowOff>
        </xdr:to>
        <xdr:sp macro="" textlink="">
          <xdr:nvSpPr>
            <xdr:cNvPr id="8197" name="Scroll Bar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4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</xdr:row>
          <xdr:rowOff>160020</xdr:rowOff>
        </xdr:from>
        <xdr:to>
          <xdr:col>2</xdr:col>
          <xdr:colOff>1165860</xdr:colOff>
          <xdr:row>2</xdr:row>
          <xdr:rowOff>175260</xdr:rowOff>
        </xdr:to>
        <xdr:sp macro="" textlink="">
          <xdr:nvSpPr>
            <xdr:cNvPr id="10241" name="Scroll Bar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5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</xdr:row>
          <xdr:rowOff>160020</xdr:rowOff>
        </xdr:from>
        <xdr:to>
          <xdr:col>2</xdr:col>
          <xdr:colOff>1165860</xdr:colOff>
          <xdr:row>3</xdr:row>
          <xdr:rowOff>175260</xdr:rowOff>
        </xdr:to>
        <xdr:sp macro="" textlink="">
          <xdr:nvSpPr>
            <xdr:cNvPr id="10242" name="Scroll Bar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5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3</xdr:row>
          <xdr:rowOff>152400</xdr:rowOff>
        </xdr:from>
        <xdr:to>
          <xdr:col>2</xdr:col>
          <xdr:colOff>1173480</xdr:colOff>
          <xdr:row>4</xdr:row>
          <xdr:rowOff>167640</xdr:rowOff>
        </xdr:to>
        <xdr:sp macro="" textlink="">
          <xdr:nvSpPr>
            <xdr:cNvPr id="10243" name="Scroll Bar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5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7620</xdr:colOff>
      <xdr:row>1</xdr:row>
      <xdr:rowOff>0</xdr:rowOff>
    </xdr:from>
    <xdr:to>
      <xdr:col>21</xdr:col>
      <xdr:colOff>68580</xdr:colOff>
      <xdr:row>28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3BFCEF-FCC9-46BD-8ED4-8F2981F94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</xdr:row>
          <xdr:rowOff>167640</xdr:rowOff>
        </xdr:from>
        <xdr:to>
          <xdr:col>2</xdr:col>
          <xdr:colOff>1165860</xdr:colOff>
          <xdr:row>6</xdr:row>
          <xdr:rowOff>0</xdr:rowOff>
        </xdr:to>
        <xdr:sp macro="" textlink="">
          <xdr:nvSpPr>
            <xdr:cNvPr id="10244" name="Scroll Bar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5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</xdr:row>
          <xdr:rowOff>175260</xdr:rowOff>
        </xdr:from>
        <xdr:to>
          <xdr:col>3</xdr:col>
          <xdr:colOff>0</xdr:colOff>
          <xdr:row>7</xdr:row>
          <xdr:rowOff>7620</xdr:rowOff>
        </xdr:to>
        <xdr:sp macro="" textlink="">
          <xdr:nvSpPr>
            <xdr:cNvPr id="10245" name="Scroll Bar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5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</xdr:row>
          <xdr:rowOff>0</xdr:rowOff>
        </xdr:from>
        <xdr:to>
          <xdr:col>2</xdr:col>
          <xdr:colOff>1173480</xdr:colOff>
          <xdr:row>8</xdr:row>
          <xdr:rowOff>15240</xdr:rowOff>
        </xdr:to>
        <xdr:sp macro="" textlink="">
          <xdr:nvSpPr>
            <xdr:cNvPr id="10246" name="Scroll Bar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5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</xdr:row>
          <xdr:rowOff>175260</xdr:rowOff>
        </xdr:from>
        <xdr:to>
          <xdr:col>2</xdr:col>
          <xdr:colOff>1173480</xdr:colOff>
          <xdr:row>9</xdr:row>
          <xdr:rowOff>7620</xdr:rowOff>
        </xdr:to>
        <xdr:sp macro="" textlink="">
          <xdr:nvSpPr>
            <xdr:cNvPr id="10247" name="Scroll Bar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5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8</xdr:row>
          <xdr:rowOff>167640</xdr:rowOff>
        </xdr:from>
        <xdr:to>
          <xdr:col>2</xdr:col>
          <xdr:colOff>1173480</xdr:colOff>
          <xdr:row>10</xdr:row>
          <xdr:rowOff>0</xdr:rowOff>
        </xdr:to>
        <xdr:sp macro="" textlink="">
          <xdr:nvSpPr>
            <xdr:cNvPr id="10248" name="Scroll Bar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5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388620</xdr:colOff>
      <xdr:row>11</xdr:row>
      <xdr:rowOff>3810</xdr:rowOff>
    </xdr:from>
    <xdr:to>
      <xdr:col>2</xdr:col>
      <xdr:colOff>1143000</xdr:colOff>
      <xdr:row>30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80E117-28FD-EC3D-6008-AC786FB61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0</xdr:row>
          <xdr:rowOff>0</xdr:rowOff>
        </xdr:from>
        <xdr:to>
          <xdr:col>2</xdr:col>
          <xdr:colOff>1165860</xdr:colOff>
          <xdr:row>1</xdr:row>
          <xdr:rowOff>15240</xdr:rowOff>
        </xdr:to>
        <xdr:sp macro="" textlink="">
          <xdr:nvSpPr>
            <xdr:cNvPr id="10250" name="Scroll Bar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5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</xdr:row>
          <xdr:rowOff>160020</xdr:rowOff>
        </xdr:from>
        <xdr:to>
          <xdr:col>2</xdr:col>
          <xdr:colOff>1165860</xdr:colOff>
          <xdr:row>2</xdr:row>
          <xdr:rowOff>175260</xdr:rowOff>
        </xdr:to>
        <xdr:sp macro="" textlink="">
          <xdr:nvSpPr>
            <xdr:cNvPr id="15361" name="Scroll Bar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6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</xdr:row>
          <xdr:rowOff>160020</xdr:rowOff>
        </xdr:from>
        <xdr:to>
          <xdr:col>2</xdr:col>
          <xdr:colOff>1165860</xdr:colOff>
          <xdr:row>3</xdr:row>
          <xdr:rowOff>175260</xdr:rowOff>
        </xdr:to>
        <xdr:sp macro="" textlink="">
          <xdr:nvSpPr>
            <xdr:cNvPr id="15362" name="Scroll Bar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6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3</xdr:row>
          <xdr:rowOff>152400</xdr:rowOff>
        </xdr:from>
        <xdr:to>
          <xdr:col>2</xdr:col>
          <xdr:colOff>1173480</xdr:colOff>
          <xdr:row>4</xdr:row>
          <xdr:rowOff>167640</xdr:rowOff>
        </xdr:to>
        <xdr:sp macro="" textlink="">
          <xdr:nvSpPr>
            <xdr:cNvPr id="15363" name="Scroll Bar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6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205740</xdr:colOff>
      <xdr:row>1</xdr:row>
      <xdr:rowOff>83820</xdr:rowOff>
    </xdr:from>
    <xdr:to>
      <xdr:col>21</xdr:col>
      <xdr:colOff>175260</xdr:colOff>
      <xdr:row>30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913B1F-B091-4531-A2B3-2C95D9960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</xdr:row>
          <xdr:rowOff>167640</xdr:rowOff>
        </xdr:from>
        <xdr:to>
          <xdr:col>2</xdr:col>
          <xdr:colOff>1165860</xdr:colOff>
          <xdr:row>6</xdr:row>
          <xdr:rowOff>0</xdr:rowOff>
        </xdr:to>
        <xdr:sp macro="" textlink="">
          <xdr:nvSpPr>
            <xdr:cNvPr id="15364" name="Scroll Bar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6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</xdr:row>
          <xdr:rowOff>175260</xdr:rowOff>
        </xdr:from>
        <xdr:to>
          <xdr:col>3</xdr:col>
          <xdr:colOff>0</xdr:colOff>
          <xdr:row>7</xdr:row>
          <xdr:rowOff>7620</xdr:rowOff>
        </xdr:to>
        <xdr:sp macro="" textlink="">
          <xdr:nvSpPr>
            <xdr:cNvPr id="15365" name="Scroll Bar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6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</xdr:row>
          <xdr:rowOff>0</xdr:rowOff>
        </xdr:from>
        <xdr:to>
          <xdr:col>2</xdr:col>
          <xdr:colOff>1173480</xdr:colOff>
          <xdr:row>8</xdr:row>
          <xdr:rowOff>15240</xdr:rowOff>
        </xdr:to>
        <xdr:sp macro="" textlink="">
          <xdr:nvSpPr>
            <xdr:cNvPr id="15366" name="Scroll Bar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6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</xdr:row>
          <xdr:rowOff>175260</xdr:rowOff>
        </xdr:from>
        <xdr:to>
          <xdr:col>2</xdr:col>
          <xdr:colOff>1173480</xdr:colOff>
          <xdr:row>9</xdr:row>
          <xdr:rowOff>7620</xdr:rowOff>
        </xdr:to>
        <xdr:sp macro="" textlink="">
          <xdr:nvSpPr>
            <xdr:cNvPr id="15367" name="Scroll Bar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6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8</xdr:row>
          <xdr:rowOff>167640</xdr:rowOff>
        </xdr:from>
        <xdr:to>
          <xdr:col>2</xdr:col>
          <xdr:colOff>1173480</xdr:colOff>
          <xdr:row>10</xdr:row>
          <xdr:rowOff>0</xdr:rowOff>
        </xdr:to>
        <xdr:sp macro="" textlink="">
          <xdr:nvSpPr>
            <xdr:cNvPr id="15368" name="Scroll Bar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6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388620</xdr:colOff>
      <xdr:row>11</xdr:row>
      <xdr:rowOff>3810</xdr:rowOff>
    </xdr:from>
    <xdr:to>
      <xdr:col>2</xdr:col>
      <xdr:colOff>1143000</xdr:colOff>
      <xdr:row>30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B11A46-F323-4E2B-8AEE-8F67CFC6D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8030A-D543-4819-9B27-935EDFFD3D27}">
  <dimension ref="B4:O38"/>
  <sheetViews>
    <sheetView topLeftCell="A4" workbookViewId="0">
      <selection activeCell="N24" sqref="N24"/>
    </sheetView>
  </sheetViews>
  <sheetFormatPr defaultRowHeight="14.4" x14ac:dyDescent="0.3"/>
  <cols>
    <col min="3" max="14" width="7.44140625" customWidth="1"/>
    <col min="15" max="15" width="9" customWidth="1"/>
  </cols>
  <sheetData>
    <row r="4" spans="2:15" x14ac:dyDescent="0.3">
      <c r="B4" s="4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  <c r="O4" s="4" t="s">
        <v>13</v>
      </c>
    </row>
    <row r="5" spans="2:15" x14ac:dyDescent="0.3">
      <c r="B5" s="7">
        <v>2006</v>
      </c>
      <c r="C5" s="2"/>
      <c r="D5" s="2"/>
      <c r="E5" s="2"/>
      <c r="F5" s="2"/>
      <c r="G5" s="2"/>
      <c r="H5" s="2"/>
      <c r="I5" s="2"/>
      <c r="J5" s="2"/>
      <c r="K5" s="2">
        <v>74</v>
      </c>
      <c r="L5" s="2">
        <v>168</v>
      </c>
      <c r="M5" s="2">
        <v>217</v>
      </c>
      <c r="N5" s="2">
        <v>203</v>
      </c>
      <c r="O5" s="5">
        <v>171</v>
      </c>
    </row>
    <row r="6" spans="2:15" x14ac:dyDescent="0.3">
      <c r="B6" s="8">
        <v>2007</v>
      </c>
      <c r="C6" s="2">
        <v>253</v>
      </c>
      <c r="D6" s="2">
        <v>146</v>
      </c>
      <c r="E6" s="2">
        <v>88</v>
      </c>
      <c r="F6" s="2">
        <v>109</v>
      </c>
      <c r="G6" s="2">
        <v>73</v>
      </c>
      <c r="H6" s="2">
        <v>89</v>
      </c>
      <c r="I6" s="2">
        <v>45</v>
      </c>
      <c r="J6" s="2">
        <v>32</v>
      </c>
      <c r="K6" s="2">
        <v>52</v>
      </c>
      <c r="L6" s="2">
        <v>145</v>
      </c>
      <c r="M6" s="2"/>
      <c r="N6" s="2">
        <v>188</v>
      </c>
      <c r="O6" s="6">
        <v>111.1</v>
      </c>
    </row>
    <row r="7" spans="2:15" x14ac:dyDescent="0.3">
      <c r="B7" s="7">
        <v>2008</v>
      </c>
      <c r="C7" s="2">
        <v>156</v>
      </c>
      <c r="D7" s="2">
        <v>178</v>
      </c>
      <c r="E7" s="2">
        <v>136</v>
      </c>
      <c r="F7" s="2">
        <v>90</v>
      </c>
      <c r="G7" s="2">
        <v>73</v>
      </c>
      <c r="H7" s="2">
        <v>50</v>
      </c>
      <c r="I7" s="2">
        <v>51</v>
      </c>
      <c r="J7" s="2">
        <v>22</v>
      </c>
      <c r="K7" s="2">
        <v>23</v>
      </c>
      <c r="L7" s="2">
        <v>174</v>
      </c>
      <c r="M7" s="2">
        <v>226</v>
      </c>
      <c r="N7" s="2">
        <v>189</v>
      </c>
      <c r="O7" s="5">
        <v>138.6</v>
      </c>
    </row>
    <row r="8" spans="2:15" x14ac:dyDescent="0.3">
      <c r="B8" s="8">
        <v>2009</v>
      </c>
      <c r="C8" s="2">
        <v>145</v>
      </c>
      <c r="D8" s="2">
        <v>123</v>
      </c>
      <c r="E8" s="2">
        <v>91</v>
      </c>
      <c r="F8" s="2">
        <v>68</v>
      </c>
      <c r="G8" s="2">
        <v>65</v>
      </c>
      <c r="H8" s="2">
        <v>73</v>
      </c>
      <c r="I8" s="2">
        <v>55</v>
      </c>
      <c r="J8" s="2">
        <v>43</v>
      </c>
      <c r="K8" s="2">
        <v>37</v>
      </c>
      <c r="L8" s="2">
        <v>163</v>
      </c>
      <c r="M8" s="2"/>
      <c r="N8" s="2"/>
      <c r="O8" s="6"/>
    </row>
    <row r="9" spans="2:15" x14ac:dyDescent="0.3">
      <c r="B9" s="7">
        <v>2010</v>
      </c>
      <c r="C9" s="2"/>
      <c r="D9" s="2">
        <v>69</v>
      </c>
      <c r="E9" s="2">
        <v>116</v>
      </c>
      <c r="F9" s="2">
        <v>82</v>
      </c>
      <c r="G9" s="2">
        <v>115</v>
      </c>
      <c r="H9" s="2">
        <v>117</v>
      </c>
      <c r="I9" s="2">
        <v>61</v>
      </c>
      <c r="J9" s="2">
        <v>60</v>
      </c>
      <c r="K9" s="2">
        <v>65</v>
      </c>
      <c r="L9" s="2">
        <v>187</v>
      </c>
      <c r="M9" s="2">
        <v>292</v>
      </c>
      <c r="N9" s="2">
        <v>267</v>
      </c>
      <c r="O9" s="5">
        <v>144.1</v>
      </c>
    </row>
    <row r="10" spans="2:15" x14ac:dyDescent="0.3">
      <c r="B10" s="8">
        <v>2011</v>
      </c>
      <c r="C10" s="2">
        <v>217</v>
      </c>
      <c r="D10" s="2">
        <v>161</v>
      </c>
      <c r="E10" s="2">
        <v>123</v>
      </c>
      <c r="F10" s="2">
        <v>127</v>
      </c>
      <c r="G10" s="2">
        <v>98</v>
      </c>
      <c r="H10" s="2">
        <v>70</v>
      </c>
      <c r="I10" s="2">
        <v>69</v>
      </c>
      <c r="J10" s="2">
        <v>53</v>
      </c>
      <c r="K10" s="2">
        <v>61</v>
      </c>
      <c r="L10" s="2">
        <v>164</v>
      </c>
      <c r="M10" s="2">
        <v>258</v>
      </c>
      <c r="N10" s="2">
        <v>277</v>
      </c>
      <c r="O10" s="6">
        <v>140.1</v>
      </c>
    </row>
    <row r="11" spans="2:15" x14ac:dyDescent="0.3">
      <c r="B11" s="7">
        <v>2012</v>
      </c>
      <c r="C11" s="2">
        <v>205</v>
      </c>
      <c r="D11" s="2">
        <v>141</v>
      </c>
      <c r="E11" s="2">
        <v>139</v>
      </c>
      <c r="F11" s="2">
        <v>101</v>
      </c>
      <c r="G11" s="2">
        <v>122</v>
      </c>
      <c r="H11" s="2"/>
      <c r="I11" s="2">
        <v>69</v>
      </c>
      <c r="J11" s="2">
        <v>58</v>
      </c>
      <c r="K11" s="2">
        <v>70</v>
      </c>
      <c r="L11" s="2">
        <v>147</v>
      </c>
      <c r="M11" s="2">
        <v>263</v>
      </c>
      <c r="N11" s="2">
        <v>179</v>
      </c>
      <c r="O11" s="5">
        <v>140.30000000000001</v>
      </c>
    </row>
    <row r="12" spans="2:15" x14ac:dyDescent="0.3">
      <c r="B12" s="8">
        <v>2013</v>
      </c>
      <c r="C12" s="2">
        <v>190</v>
      </c>
      <c r="D12" s="2">
        <v>128</v>
      </c>
      <c r="E12" s="2">
        <v>148</v>
      </c>
      <c r="F12" s="2">
        <v>105</v>
      </c>
      <c r="G12" s="2">
        <v>129</v>
      </c>
      <c r="H12" s="2">
        <v>126</v>
      </c>
      <c r="I12" s="2">
        <v>66</v>
      </c>
      <c r="J12" s="2">
        <v>85</v>
      </c>
      <c r="K12" s="2">
        <v>95</v>
      </c>
      <c r="L12" s="2">
        <v>145</v>
      </c>
      <c r="M12" s="2">
        <v>212</v>
      </c>
      <c r="N12" s="2">
        <v>106</v>
      </c>
      <c r="O12" s="6">
        <v>125.3</v>
      </c>
    </row>
    <row r="13" spans="2:15" x14ac:dyDescent="0.3">
      <c r="B13" s="7">
        <v>2014</v>
      </c>
      <c r="C13" s="2">
        <v>193</v>
      </c>
      <c r="D13" s="2">
        <v>123</v>
      </c>
      <c r="E13" s="2">
        <v>69</v>
      </c>
      <c r="F13" s="2">
        <v>98</v>
      </c>
      <c r="G13" s="2">
        <v>120</v>
      </c>
      <c r="H13" s="2">
        <v>137</v>
      </c>
      <c r="I13" s="2">
        <v>114</v>
      </c>
      <c r="J13" s="2">
        <v>87</v>
      </c>
      <c r="K13" s="2">
        <v>74</v>
      </c>
      <c r="L13" s="2">
        <v>137</v>
      </c>
      <c r="M13" s="2">
        <v>166</v>
      </c>
      <c r="N13" s="2">
        <v>161</v>
      </c>
      <c r="O13" s="5">
        <v>117.2</v>
      </c>
    </row>
    <row r="14" spans="2:15" x14ac:dyDescent="0.3">
      <c r="B14" s="8">
        <v>2015</v>
      </c>
      <c r="C14" s="2">
        <v>179</v>
      </c>
      <c r="D14" s="2">
        <v>124</v>
      </c>
      <c r="E14" s="2">
        <v>96</v>
      </c>
      <c r="F14" s="2">
        <v>101</v>
      </c>
      <c r="G14" s="2">
        <v>120</v>
      </c>
      <c r="H14" s="2">
        <v>97</v>
      </c>
      <c r="I14" s="2">
        <v>67</v>
      </c>
      <c r="J14" s="2">
        <v>58</v>
      </c>
      <c r="K14" s="2">
        <v>90</v>
      </c>
      <c r="L14" s="2">
        <v>153</v>
      </c>
      <c r="M14" s="2">
        <v>243</v>
      </c>
      <c r="N14" s="2">
        <v>177</v>
      </c>
      <c r="O14" s="6">
        <v>125.3</v>
      </c>
    </row>
    <row r="15" spans="2:15" x14ac:dyDescent="0.3">
      <c r="B15" s="7">
        <v>2016</v>
      </c>
      <c r="C15" s="2">
        <v>249</v>
      </c>
      <c r="D15" s="2">
        <v>151</v>
      </c>
      <c r="E15" s="2">
        <v>126</v>
      </c>
      <c r="F15" s="2">
        <v>120</v>
      </c>
      <c r="G15" s="2">
        <v>92</v>
      </c>
      <c r="H15" s="2">
        <v>73</v>
      </c>
      <c r="I15" s="2">
        <v>56</v>
      </c>
      <c r="J15" s="2">
        <v>42</v>
      </c>
      <c r="K15" s="2">
        <v>61</v>
      </c>
      <c r="L15" s="2">
        <v>152</v>
      </c>
      <c r="M15" s="2">
        <v>258</v>
      </c>
      <c r="N15" s="2">
        <v>217</v>
      </c>
      <c r="O15" s="5">
        <v>133.30000000000001</v>
      </c>
    </row>
    <row r="16" spans="2:15" x14ac:dyDescent="0.3">
      <c r="B16" s="8">
        <v>2017</v>
      </c>
      <c r="C16" s="2">
        <v>164</v>
      </c>
      <c r="D16" s="2">
        <v>134</v>
      </c>
      <c r="E16" s="2">
        <v>96</v>
      </c>
      <c r="F16" s="2">
        <v>96</v>
      </c>
      <c r="G16" s="2">
        <v>122</v>
      </c>
      <c r="H16" s="2">
        <v>60</v>
      </c>
      <c r="I16" s="2">
        <v>36</v>
      </c>
      <c r="J16" s="2">
        <v>37</v>
      </c>
      <c r="K16" s="2">
        <v>58</v>
      </c>
      <c r="L16" s="2">
        <v>135</v>
      </c>
      <c r="M16" s="2">
        <v>268</v>
      </c>
      <c r="N16" s="2">
        <v>200</v>
      </c>
      <c r="O16" s="6">
        <v>117.2</v>
      </c>
    </row>
    <row r="17" spans="2:15" x14ac:dyDescent="0.3">
      <c r="B17" s="7">
        <v>2018</v>
      </c>
      <c r="C17" s="2">
        <v>205</v>
      </c>
      <c r="D17" s="2">
        <v>143</v>
      </c>
      <c r="E17" s="2">
        <v>104</v>
      </c>
      <c r="F17" s="2">
        <v>94</v>
      </c>
      <c r="G17" s="2">
        <v>95</v>
      </c>
      <c r="H17" s="2">
        <v>86</v>
      </c>
      <c r="I17" s="2">
        <v>42</v>
      </c>
      <c r="J17" s="2">
        <v>43</v>
      </c>
      <c r="K17" s="2">
        <v>45</v>
      </c>
      <c r="L17" s="2">
        <v>139</v>
      </c>
      <c r="M17" s="2">
        <v>209</v>
      </c>
      <c r="N17" s="2">
        <v>236</v>
      </c>
      <c r="O17" s="5">
        <v>120</v>
      </c>
    </row>
    <row r="18" spans="2:15" x14ac:dyDescent="0.3">
      <c r="B18" s="8">
        <v>2019</v>
      </c>
      <c r="C18" s="2">
        <v>190</v>
      </c>
      <c r="D18" s="2">
        <v>123</v>
      </c>
      <c r="E18" s="2">
        <v>83</v>
      </c>
      <c r="F18" s="2">
        <v>81</v>
      </c>
      <c r="G18" s="2">
        <v>88</v>
      </c>
      <c r="H18" s="2">
        <v>63</v>
      </c>
      <c r="I18" s="2">
        <v>46</v>
      </c>
      <c r="J18" s="2">
        <v>34</v>
      </c>
      <c r="K18" s="2">
        <v>39</v>
      </c>
      <c r="L18" s="2">
        <v>114</v>
      </c>
      <c r="M18" s="2">
        <v>187</v>
      </c>
      <c r="N18" s="2">
        <v>203</v>
      </c>
      <c r="O18" s="6">
        <v>105</v>
      </c>
    </row>
    <row r="19" spans="2:15" x14ac:dyDescent="0.3">
      <c r="B19" s="7">
        <v>2020</v>
      </c>
      <c r="C19" s="2">
        <v>148</v>
      </c>
      <c r="D19" s="2">
        <v>120</v>
      </c>
      <c r="E19" s="2">
        <v>57</v>
      </c>
      <c r="F19" s="2">
        <v>44</v>
      </c>
      <c r="G19" s="2">
        <v>54</v>
      </c>
      <c r="H19" s="2">
        <v>46</v>
      </c>
      <c r="I19" s="2">
        <v>34</v>
      </c>
      <c r="J19" s="2">
        <v>24</v>
      </c>
      <c r="K19" s="2">
        <v>47</v>
      </c>
      <c r="L19" s="2">
        <v>132</v>
      </c>
      <c r="M19" s="2">
        <v>199</v>
      </c>
      <c r="N19" s="2">
        <v>190</v>
      </c>
      <c r="O19" s="5">
        <v>93</v>
      </c>
    </row>
    <row r="20" spans="2:15" x14ac:dyDescent="0.3">
      <c r="B20" s="8">
        <v>2021</v>
      </c>
      <c r="C20" s="2">
        <v>187</v>
      </c>
      <c r="D20" s="2">
        <v>150</v>
      </c>
      <c r="E20" s="2">
        <v>96</v>
      </c>
      <c r="F20" s="2">
        <v>86</v>
      </c>
      <c r="G20" s="2">
        <v>53</v>
      </c>
      <c r="H20" s="2">
        <v>53</v>
      </c>
      <c r="I20" s="2">
        <v>39</v>
      </c>
      <c r="J20" s="2">
        <v>41</v>
      </c>
      <c r="K20" s="2">
        <v>32</v>
      </c>
      <c r="L20" s="2">
        <v>74</v>
      </c>
      <c r="M20" s="2">
        <v>230</v>
      </c>
      <c r="N20" s="2">
        <v>191</v>
      </c>
      <c r="O20" s="6">
        <v>106</v>
      </c>
    </row>
    <row r="21" spans="2:15" x14ac:dyDescent="0.3">
      <c r="B21" s="7">
        <v>2022</v>
      </c>
      <c r="C21" s="2">
        <v>150</v>
      </c>
      <c r="D21" s="2">
        <v>103</v>
      </c>
      <c r="E21" s="2">
        <v>98</v>
      </c>
      <c r="F21" s="2">
        <v>106</v>
      </c>
      <c r="G21" s="2">
        <v>78</v>
      </c>
      <c r="H21" s="2">
        <v>62</v>
      </c>
      <c r="I21" s="2">
        <v>35</v>
      </c>
      <c r="J21" s="2">
        <v>32</v>
      </c>
      <c r="K21" s="2">
        <v>40</v>
      </c>
      <c r="L21" s="2">
        <v>106</v>
      </c>
      <c r="M21" s="2">
        <v>178</v>
      </c>
      <c r="N21" s="2">
        <v>171</v>
      </c>
      <c r="O21" s="5">
        <v>99.7</v>
      </c>
    </row>
    <row r="22" spans="2:15" x14ac:dyDescent="0.3">
      <c r="B22" s="8">
        <v>2023</v>
      </c>
      <c r="C22" s="3">
        <v>175.232899</v>
      </c>
      <c r="D22" s="3">
        <v>114.38470599999999</v>
      </c>
      <c r="E22" s="3">
        <v>77.732664150000005</v>
      </c>
      <c r="F22" s="3">
        <v>66.088810510000002</v>
      </c>
      <c r="G22" s="3">
        <v>65.126872370000001</v>
      </c>
      <c r="H22" s="3">
        <v>45.505431629999997</v>
      </c>
      <c r="I22" s="3">
        <v>33.918681990000003</v>
      </c>
      <c r="J22" s="3">
        <v>38.310519730000003</v>
      </c>
      <c r="K22" s="3">
        <v>42.982746040000002</v>
      </c>
      <c r="L22" s="3">
        <v>104.86342569999999</v>
      </c>
      <c r="M22" s="3">
        <v>241.8764425</v>
      </c>
      <c r="N22" s="3">
        <v>200.45894530000001</v>
      </c>
      <c r="O22" s="6">
        <v>103.34622349999999</v>
      </c>
    </row>
    <row r="23" spans="2:15" x14ac:dyDescent="0.3">
      <c r="B23" s="7">
        <v>2024</v>
      </c>
      <c r="C23" s="3">
        <v>202.8046401</v>
      </c>
      <c r="D23" s="3">
        <v>104.4008211</v>
      </c>
      <c r="E23" s="3">
        <v>77.610635479999999</v>
      </c>
      <c r="F23" s="3">
        <v>70.286510210000003</v>
      </c>
      <c r="G23" s="3">
        <v>89.38746956</v>
      </c>
      <c r="H23" s="3">
        <v>59.021960559999997</v>
      </c>
      <c r="I23" s="3">
        <v>39.683514989999999</v>
      </c>
      <c r="J23" s="3">
        <v>27.38174871</v>
      </c>
      <c r="K23" s="3">
        <v>42.968383609999997</v>
      </c>
      <c r="L23" s="3">
        <v>109.96127730000001</v>
      </c>
      <c r="M23" s="3">
        <v>225.286923</v>
      </c>
      <c r="N23" s="3">
        <v>164.06165480000001</v>
      </c>
      <c r="O23" s="5">
        <v>101.563939</v>
      </c>
    </row>
    <row r="24" spans="2:15" x14ac:dyDescent="0.3">
      <c r="B24" s="7">
        <v>2025</v>
      </c>
      <c r="C24" s="3">
        <v>162.045101104069</v>
      </c>
      <c r="D24" s="3">
        <v>97.001005396694197</v>
      </c>
      <c r="E24" s="3">
        <v>70.493896538944597</v>
      </c>
      <c r="F24" s="3">
        <v>76.625733817257597</v>
      </c>
      <c r="G24" s="3">
        <v>65.869472784596297</v>
      </c>
      <c r="H24" s="3">
        <v>49.875810691592697</v>
      </c>
      <c r="I24" s="3">
        <v>29.578822710000001</v>
      </c>
      <c r="J24" s="3">
        <v>32.817674310000001</v>
      </c>
      <c r="K24" s="3">
        <v>35.624257780000001</v>
      </c>
      <c r="L24" s="3">
        <v>102.8824297</v>
      </c>
      <c r="M24" s="3">
        <v>220.2200273</v>
      </c>
      <c r="N24" s="3"/>
      <c r="O24" s="5"/>
    </row>
    <row r="27" spans="2:15" x14ac:dyDescent="0.3">
      <c r="B27" s="4" t="s">
        <v>0</v>
      </c>
      <c r="C27" s="1" t="s">
        <v>1</v>
      </c>
      <c r="D27" s="1" t="s">
        <v>2</v>
      </c>
      <c r="E27" s="1" t="s">
        <v>3</v>
      </c>
      <c r="F27" s="1" t="s">
        <v>4</v>
      </c>
      <c r="G27" s="1" t="s">
        <v>5</v>
      </c>
      <c r="H27" s="1" t="s">
        <v>6</v>
      </c>
      <c r="I27" s="1" t="s">
        <v>7</v>
      </c>
      <c r="J27" s="1" t="s">
        <v>8</v>
      </c>
      <c r="K27" s="1" t="s">
        <v>9</v>
      </c>
      <c r="L27" s="1" t="s">
        <v>10</v>
      </c>
      <c r="M27" s="1" t="s">
        <v>11</v>
      </c>
      <c r="N27" s="1" t="s">
        <v>12</v>
      </c>
      <c r="O27" s="4" t="s">
        <v>13</v>
      </c>
    </row>
    <row r="28" spans="2:15" x14ac:dyDescent="0.3">
      <c r="B28" s="8">
        <v>2015</v>
      </c>
      <c r="C28" s="2">
        <v>179</v>
      </c>
      <c r="D28" s="2">
        <v>124</v>
      </c>
      <c r="E28" s="2">
        <v>96</v>
      </c>
      <c r="F28" s="2">
        <v>101</v>
      </c>
      <c r="G28" s="2">
        <v>120</v>
      </c>
      <c r="H28" s="2">
        <v>97</v>
      </c>
      <c r="I28" s="2">
        <v>67</v>
      </c>
      <c r="J28" s="2">
        <v>58</v>
      </c>
      <c r="K28" s="2">
        <v>90</v>
      </c>
      <c r="L28" s="2">
        <v>153</v>
      </c>
      <c r="M28" s="2">
        <v>243</v>
      </c>
      <c r="N28" s="2">
        <v>177</v>
      </c>
      <c r="O28" s="6">
        <v>125.3</v>
      </c>
    </row>
    <row r="29" spans="2:15" x14ac:dyDescent="0.3">
      <c r="B29" s="7">
        <v>2016</v>
      </c>
      <c r="C29" s="2">
        <v>249</v>
      </c>
      <c r="D29" s="2">
        <v>151</v>
      </c>
      <c r="E29" s="2">
        <v>126</v>
      </c>
      <c r="F29" s="2">
        <v>120</v>
      </c>
      <c r="G29" s="2">
        <v>92</v>
      </c>
      <c r="H29" s="2">
        <v>73</v>
      </c>
      <c r="I29" s="2">
        <v>56</v>
      </c>
      <c r="J29" s="2">
        <v>42</v>
      </c>
      <c r="K29" s="2">
        <v>61</v>
      </c>
      <c r="L29" s="2">
        <v>152</v>
      </c>
      <c r="M29" s="2">
        <v>258</v>
      </c>
      <c r="N29" s="2">
        <v>217</v>
      </c>
      <c r="O29" s="5">
        <v>133.30000000000001</v>
      </c>
    </row>
    <row r="30" spans="2:15" x14ac:dyDescent="0.3">
      <c r="B30" s="8">
        <v>2017</v>
      </c>
      <c r="C30" s="2">
        <v>164</v>
      </c>
      <c r="D30" s="2">
        <v>134</v>
      </c>
      <c r="E30" s="2">
        <v>96</v>
      </c>
      <c r="F30" s="2">
        <v>96</v>
      </c>
      <c r="G30" s="2">
        <v>122</v>
      </c>
      <c r="H30" s="2">
        <v>60</v>
      </c>
      <c r="I30" s="2">
        <v>36</v>
      </c>
      <c r="J30" s="2">
        <v>37</v>
      </c>
      <c r="K30" s="2">
        <v>58</v>
      </c>
      <c r="L30" s="2">
        <v>135</v>
      </c>
      <c r="M30" s="2">
        <v>268</v>
      </c>
      <c r="N30" s="2">
        <v>200</v>
      </c>
      <c r="O30" s="6">
        <v>117.2</v>
      </c>
    </row>
    <row r="31" spans="2:15" x14ac:dyDescent="0.3">
      <c r="B31" s="7">
        <v>2018</v>
      </c>
      <c r="C31" s="2">
        <v>205</v>
      </c>
      <c r="D31" s="2">
        <v>143</v>
      </c>
      <c r="E31" s="2">
        <v>104</v>
      </c>
      <c r="F31" s="2">
        <v>94</v>
      </c>
      <c r="G31" s="2">
        <v>95</v>
      </c>
      <c r="H31" s="2">
        <v>86</v>
      </c>
      <c r="I31" s="2">
        <v>42</v>
      </c>
      <c r="J31" s="2">
        <v>43</v>
      </c>
      <c r="K31" s="2">
        <v>45</v>
      </c>
      <c r="L31" s="2">
        <v>139</v>
      </c>
      <c r="M31" s="2">
        <v>209</v>
      </c>
      <c r="N31" s="2">
        <v>236</v>
      </c>
      <c r="O31" s="5">
        <v>120</v>
      </c>
    </row>
    <row r="32" spans="2:15" x14ac:dyDescent="0.3">
      <c r="B32" s="8">
        <v>2019</v>
      </c>
      <c r="C32" s="2">
        <v>190</v>
      </c>
      <c r="D32" s="2">
        <v>123</v>
      </c>
      <c r="E32" s="2">
        <v>83</v>
      </c>
      <c r="F32" s="2">
        <v>81</v>
      </c>
      <c r="G32" s="2">
        <v>88</v>
      </c>
      <c r="H32" s="2">
        <v>63</v>
      </c>
      <c r="I32" s="2">
        <v>46</v>
      </c>
      <c r="J32" s="2">
        <v>34</v>
      </c>
      <c r="K32" s="2">
        <v>39</v>
      </c>
      <c r="L32" s="2">
        <v>114</v>
      </c>
      <c r="M32" s="2">
        <v>187</v>
      </c>
      <c r="N32" s="2">
        <v>203</v>
      </c>
      <c r="O32" s="6">
        <v>105</v>
      </c>
    </row>
    <row r="33" spans="2:15" x14ac:dyDescent="0.3">
      <c r="B33" s="7">
        <v>2020</v>
      </c>
      <c r="C33" s="2">
        <v>148</v>
      </c>
      <c r="D33" s="2">
        <v>120</v>
      </c>
      <c r="E33" s="2">
        <v>57</v>
      </c>
      <c r="F33" s="2">
        <v>44</v>
      </c>
      <c r="G33" s="2">
        <v>54</v>
      </c>
      <c r="H33" s="2">
        <v>46</v>
      </c>
      <c r="I33" s="2">
        <v>34</v>
      </c>
      <c r="J33" s="2">
        <v>24</v>
      </c>
      <c r="K33" s="2">
        <v>47</v>
      </c>
      <c r="L33" s="2">
        <v>132</v>
      </c>
      <c r="M33" s="2">
        <v>199</v>
      </c>
      <c r="N33" s="2">
        <v>190</v>
      </c>
      <c r="O33" s="5">
        <v>93</v>
      </c>
    </row>
    <row r="34" spans="2:15" x14ac:dyDescent="0.3">
      <c r="B34" s="8">
        <v>2021</v>
      </c>
      <c r="C34" s="2">
        <v>187</v>
      </c>
      <c r="D34" s="2">
        <v>150</v>
      </c>
      <c r="E34" s="2">
        <v>96</v>
      </c>
      <c r="F34" s="2">
        <v>86</v>
      </c>
      <c r="G34" s="2">
        <v>53</v>
      </c>
      <c r="H34" s="2">
        <v>53</v>
      </c>
      <c r="I34" s="2">
        <v>39</v>
      </c>
      <c r="J34" s="2">
        <v>41</v>
      </c>
      <c r="K34" s="2">
        <v>32</v>
      </c>
      <c r="L34" s="2">
        <v>74</v>
      </c>
      <c r="M34" s="2">
        <v>230</v>
      </c>
      <c r="N34" s="2">
        <v>191</v>
      </c>
      <c r="O34" s="6">
        <v>106</v>
      </c>
    </row>
    <row r="35" spans="2:15" x14ac:dyDescent="0.3">
      <c r="B35" s="7">
        <v>2022</v>
      </c>
      <c r="C35" s="2">
        <v>150</v>
      </c>
      <c r="D35" s="2">
        <v>103</v>
      </c>
      <c r="E35" s="2">
        <v>98</v>
      </c>
      <c r="F35" s="2">
        <v>106</v>
      </c>
      <c r="G35" s="2">
        <v>78</v>
      </c>
      <c r="H35" s="2">
        <v>62</v>
      </c>
      <c r="I35" s="2">
        <v>35</v>
      </c>
      <c r="J35" s="2">
        <v>32</v>
      </c>
      <c r="K35" s="2">
        <v>40</v>
      </c>
      <c r="L35" s="2">
        <v>106</v>
      </c>
      <c r="M35" s="2">
        <v>178</v>
      </c>
      <c r="N35" s="2">
        <v>171</v>
      </c>
      <c r="O35" s="5">
        <v>99.7</v>
      </c>
    </row>
    <row r="36" spans="2:15" x14ac:dyDescent="0.3">
      <c r="B36" s="8">
        <v>2023</v>
      </c>
      <c r="C36" s="3">
        <v>175.232899</v>
      </c>
      <c r="D36" s="3">
        <v>114.38470599999999</v>
      </c>
      <c r="E36" s="3">
        <v>77.732664150000005</v>
      </c>
      <c r="F36" s="3">
        <v>66.088810510000002</v>
      </c>
      <c r="G36" s="3">
        <v>65.126872370000001</v>
      </c>
      <c r="H36" s="3">
        <v>45.505431629999997</v>
      </c>
      <c r="I36" s="3">
        <v>33.918681990000003</v>
      </c>
      <c r="J36" s="3">
        <v>38.310519730000003</v>
      </c>
      <c r="K36" s="3">
        <v>42.982746040000002</v>
      </c>
      <c r="L36" s="3">
        <v>104.86342569999999</v>
      </c>
      <c r="M36" s="3">
        <v>241.8764425</v>
      </c>
      <c r="N36" s="3">
        <v>200.45894530000001</v>
      </c>
      <c r="O36" s="6">
        <v>103.34622349999999</v>
      </c>
    </row>
    <row r="37" spans="2:15" x14ac:dyDescent="0.3">
      <c r="B37" s="7">
        <v>2024</v>
      </c>
      <c r="C37" s="3">
        <v>202.8046401</v>
      </c>
      <c r="D37" s="3">
        <v>104.4008211</v>
      </c>
      <c r="E37" s="3">
        <v>77.610635479999999</v>
      </c>
      <c r="F37" s="3">
        <v>70.286510210000003</v>
      </c>
      <c r="G37" s="3">
        <v>89.38746956</v>
      </c>
      <c r="H37" s="3">
        <v>59.021960559999997</v>
      </c>
      <c r="I37" s="3">
        <v>39.683514989999999</v>
      </c>
      <c r="J37" s="3">
        <v>27.38174871</v>
      </c>
      <c r="K37" s="3">
        <v>42.968383609999997</v>
      </c>
      <c r="L37" s="3">
        <v>109.96127730000001</v>
      </c>
      <c r="M37" s="3">
        <v>225.286923</v>
      </c>
      <c r="N37" s="3">
        <v>164.06165480000001</v>
      </c>
      <c r="O37" s="5">
        <v>101.563939</v>
      </c>
    </row>
    <row r="38" spans="2:15" x14ac:dyDescent="0.3">
      <c r="B38" s="7">
        <v>2025</v>
      </c>
      <c r="C38" s="3">
        <v>162.045101104069</v>
      </c>
      <c r="D38" s="3">
        <v>97.001005396694197</v>
      </c>
      <c r="E38" s="3">
        <v>70.493896538944597</v>
      </c>
      <c r="F38" s="3">
        <v>76.625733817257597</v>
      </c>
      <c r="G38" s="3">
        <v>65.869472784596297</v>
      </c>
      <c r="H38" s="3">
        <v>49.875810691592697</v>
      </c>
      <c r="I38" s="3">
        <v>29.578822710000001</v>
      </c>
      <c r="J38" s="3">
        <v>32.817674310000001</v>
      </c>
      <c r="K38" s="3">
        <v>35.624257780000001</v>
      </c>
      <c r="L38" s="3">
        <v>102.8824297</v>
      </c>
      <c r="M38" s="3">
        <v>220.2200273</v>
      </c>
      <c r="N38" s="3"/>
      <c r="O38" s="5"/>
    </row>
  </sheetData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3345-BE6D-4148-817C-3466AA797F99}">
  <dimension ref="D4:R43"/>
  <sheetViews>
    <sheetView topLeftCell="A13" workbookViewId="0">
      <selection activeCell="I29" sqref="I29"/>
    </sheetView>
  </sheetViews>
  <sheetFormatPr defaultRowHeight="14.4" x14ac:dyDescent="0.3"/>
  <cols>
    <col min="4" max="4" width="38" bestFit="1" customWidth="1"/>
    <col min="6" max="17" width="7.44140625" customWidth="1"/>
    <col min="18" max="18" width="9" customWidth="1"/>
  </cols>
  <sheetData>
    <row r="4" spans="5:18" x14ac:dyDescent="0.3">
      <c r="E4" s="4" t="s">
        <v>0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4" t="s">
        <v>13</v>
      </c>
    </row>
    <row r="5" spans="5:18" x14ac:dyDescent="0.3">
      <c r="E5" s="7">
        <v>2006</v>
      </c>
      <c r="F5" s="2"/>
      <c r="G5" s="2"/>
      <c r="H5" s="2"/>
      <c r="I5" s="2"/>
      <c r="J5" s="2"/>
      <c r="K5" s="2"/>
      <c r="L5" s="2"/>
      <c r="M5" s="2"/>
      <c r="N5" s="2">
        <v>74</v>
      </c>
      <c r="O5" s="2">
        <v>168</v>
      </c>
      <c r="P5" s="2">
        <v>217</v>
      </c>
      <c r="Q5" s="2">
        <v>203</v>
      </c>
      <c r="R5" s="5">
        <v>171</v>
      </c>
    </row>
    <row r="6" spans="5:18" x14ac:dyDescent="0.3">
      <c r="E6" s="8">
        <v>2007</v>
      </c>
      <c r="F6" s="2">
        <v>253</v>
      </c>
      <c r="G6" s="2">
        <v>146</v>
      </c>
      <c r="H6" s="2">
        <v>88</v>
      </c>
      <c r="I6" s="2">
        <v>109</v>
      </c>
      <c r="J6" s="2">
        <v>73</v>
      </c>
      <c r="K6" s="2">
        <v>89</v>
      </c>
      <c r="L6" s="2">
        <v>45</v>
      </c>
      <c r="M6" s="2">
        <v>32</v>
      </c>
      <c r="N6" s="2">
        <v>52</v>
      </c>
      <c r="O6" s="2">
        <v>145</v>
      </c>
      <c r="P6" s="2"/>
      <c r="Q6" s="2">
        <v>188</v>
      </c>
      <c r="R6" s="6">
        <v>111.1</v>
      </c>
    </row>
    <row r="7" spans="5:18" x14ac:dyDescent="0.3">
      <c r="E7" s="7">
        <v>2008</v>
      </c>
      <c r="F7" s="2">
        <v>156</v>
      </c>
      <c r="G7" s="2">
        <v>178</v>
      </c>
      <c r="H7" s="2">
        <v>136</v>
      </c>
      <c r="I7" s="2">
        <v>90</v>
      </c>
      <c r="J7" s="2">
        <v>73</v>
      </c>
      <c r="K7" s="2">
        <v>50</v>
      </c>
      <c r="L7" s="2">
        <v>51</v>
      </c>
      <c r="M7" s="2">
        <v>22</v>
      </c>
      <c r="N7" s="2">
        <v>23</v>
      </c>
      <c r="O7" s="2">
        <v>174</v>
      </c>
      <c r="P7" s="2">
        <v>226</v>
      </c>
      <c r="Q7" s="2">
        <v>189</v>
      </c>
      <c r="R7" s="5">
        <v>138.6</v>
      </c>
    </row>
    <row r="8" spans="5:18" x14ac:dyDescent="0.3">
      <c r="E8" s="8">
        <v>2009</v>
      </c>
      <c r="F8" s="2">
        <v>145</v>
      </c>
      <c r="G8" s="2">
        <v>123</v>
      </c>
      <c r="H8" s="2">
        <v>91</v>
      </c>
      <c r="I8" s="2">
        <v>68</v>
      </c>
      <c r="J8" s="2">
        <v>65</v>
      </c>
      <c r="K8" s="2">
        <v>73</v>
      </c>
      <c r="L8" s="2">
        <v>55</v>
      </c>
      <c r="M8" s="2">
        <v>43</v>
      </c>
      <c r="N8" s="2">
        <v>37</v>
      </c>
      <c r="O8" s="2">
        <v>163</v>
      </c>
      <c r="P8" s="2"/>
      <c r="Q8" s="2"/>
      <c r="R8" s="6"/>
    </row>
    <row r="9" spans="5:18" x14ac:dyDescent="0.3">
      <c r="E9" s="7">
        <v>2010</v>
      </c>
      <c r="F9" s="2"/>
      <c r="G9" s="2">
        <v>69</v>
      </c>
      <c r="H9" s="2">
        <v>116</v>
      </c>
      <c r="I9" s="2">
        <v>82</v>
      </c>
      <c r="J9" s="2">
        <v>115</v>
      </c>
      <c r="K9" s="2">
        <v>117</v>
      </c>
      <c r="L9" s="2">
        <v>61</v>
      </c>
      <c r="M9" s="2">
        <v>60</v>
      </c>
      <c r="N9" s="2">
        <v>65</v>
      </c>
      <c r="O9" s="2">
        <v>187</v>
      </c>
      <c r="P9" s="2">
        <v>292</v>
      </c>
      <c r="Q9" s="2">
        <v>267</v>
      </c>
      <c r="R9" s="5">
        <v>144.1</v>
      </c>
    </row>
    <row r="10" spans="5:18" x14ac:dyDescent="0.3">
      <c r="E10" s="8">
        <v>2011</v>
      </c>
      <c r="F10" s="2">
        <v>217</v>
      </c>
      <c r="G10" s="2">
        <v>161</v>
      </c>
      <c r="H10" s="2">
        <v>123</v>
      </c>
      <c r="I10" s="2">
        <v>127</v>
      </c>
      <c r="J10" s="2">
        <v>98</v>
      </c>
      <c r="K10" s="2">
        <v>70</v>
      </c>
      <c r="L10" s="2">
        <v>69</v>
      </c>
      <c r="M10" s="2">
        <v>53</v>
      </c>
      <c r="N10" s="2">
        <v>61</v>
      </c>
      <c r="O10" s="2">
        <v>164</v>
      </c>
      <c r="P10" s="2">
        <v>258</v>
      </c>
      <c r="Q10" s="2">
        <v>277</v>
      </c>
      <c r="R10" s="6">
        <v>140.1</v>
      </c>
    </row>
    <row r="11" spans="5:18" x14ac:dyDescent="0.3">
      <c r="E11" s="7">
        <v>2012</v>
      </c>
      <c r="F11" s="2">
        <v>205</v>
      </c>
      <c r="G11" s="2">
        <v>141</v>
      </c>
      <c r="H11" s="2">
        <v>139</v>
      </c>
      <c r="I11" s="2">
        <v>101</v>
      </c>
      <c r="J11" s="2">
        <v>122</v>
      </c>
      <c r="K11" s="2"/>
      <c r="L11" s="2">
        <v>69</v>
      </c>
      <c r="M11" s="2">
        <v>58</v>
      </c>
      <c r="N11" s="2">
        <v>70</v>
      </c>
      <c r="O11" s="2">
        <v>147</v>
      </c>
      <c r="P11" s="2">
        <v>263</v>
      </c>
      <c r="Q11" s="2">
        <v>179</v>
      </c>
      <c r="R11" s="5">
        <v>140.30000000000001</v>
      </c>
    </row>
    <row r="12" spans="5:18" x14ac:dyDescent="0.3">
      <c r="E12" s="8">
        <v>2013</v>
      </c>
      <c r="F12" s="2">
        <v>190</v>
      </c>
      <c r="G12" s="2">
        <v>128</v>
      </c>
      <c r="H12" s="2">
        <v>148</v>
      </c>
      <c r="I12" s="2">
        <v>105</v>
      </c>
      <c r="J12" s="2">
        <v>129</v>
      </c>
      <c r="K12" s="2">
        <v>126</v>
      </c>
      <c r="L12" s="2">
        <v>66</v>
      </c>
      <c r="M12" s="2">
        <v>85</v>
      </c>
      <c r="N12" s="2">
        <v>95</v>
      </c>
      <c r="O12" s="2">
        <v>145</v>
      </c>
      <c r="P12" s="2">
        <v>212</v>
      </c>
      <c r="Q12" s="2">
        <v>106</v>
      </c>
      <c r="R12" s="6">
        <v>125.3</v>
      </c>
    </row>
    <row r="13" spans="5:18" x14ac:dyDescent="0.3">
      <c r="E13" s="7">
        <v>2014</v>
      </c>
      <c r="F13" s="2">
        <v>193</v>
      </c>
      <c r="G13" s="2">
        <v>123</v>
      </c>
      <c r="H13" s="2">
        <v>69</v>
      </c>
      <c r="I13" s="2">
        <v>98</v>
      </c>
      <c r="J13" s="2">
        <v>120</v>
      </c>
      <c r="K13" s="2">
        <v>137</v>
      </c>
      <c r="L13" s="2">
        <v>114</v>
      </c>
      <c r="M13" s="2">
        <v>87</v>
      </c>
      <c r="N13" s="2">
        <v>74</v>
      </c>
      <c r="O13" s="2">
        <v>137</v>
      </c>
      <c r="P13" s="2">
        <v>166</v>
      </c>
      <c r="Q13" s="2">
        <v>161</v>
      </c>
      <c r="R13" s="5">
        <v>117.2</v>
      </c>
    </row>
    <row r="14" spans="5:18" x14ac:dyDescent="0.3">
      <c r="E14" s="8">
        <v>2015</v>
      </c>
      <c r="F14" s="2">
        <v>179</v>
      </c>
      <c r="G14" s="2">
        <v>124</v>
      </c>
      <c r="H14" s="2">
        <v>96</v>
      </c>
      <c r="I14" s="2">
        <v>101</v>
      </c>
      <c r="J14" s="2">
        <v>120</v>
      </c>
      <c r="K14" s="2">
        <v>97</v>
      </c>
      <c r="L14" s="2">
        <v>67</v>
      </c>
      <c r="M14" s="2">
        <v>58</v>
      </c>
      <c r="N14" s="2">
        <v>90</v>
      </c>
      <c r="O14" s="2">
        <v>153</v>
      </c>
      <c r="P14" s="2">
        <v>243</v>
      </c>
      <c r="Q14" s="2">
        <v>177</v>
      </c>
      <c r="R14" s="6">
        <v>125.3</v>
      </c>
    </row>
    <row r="15" spans="5:18" x14ac:dyDescent="0.3">
      <c r="E15" s="7">
        <v>2016</v>
      </c>
      <c r="F15" s="2">
        <v>249</v>
      </c>
      <c r="G15" s="2">
        <v>151</v>
      </c>
      <c r="H15" s="2">
        <v>126</v>
      </c>
      <c r="I15" s="2">
        <v>120</v>
      </c>
      <c r="J15" s="2">
        <v>92</v>
      </c>
      <c r="K15" s="2">
        <v>73</v>
      </c>
      <c r="L15" s="2">
        <v>56</v>
      </c>
      <c r="M15" s="2">
        <v>42</v>
      </c>
      <c r="N15" s="2">
        <v>61</v>
      </c>
      <c r="O15" s="2">
        <v>152</v>
      </c>
      <c r="P15" s="2">
        <v>258</v>
      </c>
      <c r="Q15" s="2">
        <v>217</v>
      </c>
      <c r="R15" s="5">
        <v>133.30000000000001</v>
      </c>
    </row>
    <row r="16" spans="5:18" x14ac:dyDescent="0.3">
      <c r="E16" s="8">
        <v>2017</v>
      </c>
      <c r="F16" s="2">
        <v>164</v>
      </c>
      <c r="G16" s="2">
        <v>134</v>
      </c>
      <c r="H16" s="2">
        <v>96</v>
      </c>
      <c r="I16" s="2">
        <v>96</v>
      </c>
      <c r="J16" s="2">
        <v>122</v>
      </c>
      <c r="K16" s="2">
        <v>60</v>
      </c>
      <c r="L16" s="2">
        <v>36</v>
      </c>
      <c r="M16" s="2">
        <v>37</v>
      </c>
      <c r="N16" s="2">
        <v>58</v>
      </c>
      <c r="O16" s="2">
        <v>135</v>
      </c>
      <c r="P16" s="2">
        <v>268</v>
      </c>
      <c r="Q16" s="2">
        <v>200</v>
      </c>
      <c r="R16" s="6">
        <v>117.2</v>
      </c>
    </row>
    <row r="17" spans="4:18" x14ac:dyDescent="0.3">
      <c r="E17" s="7">
        <v>2018</v>
      </c>
      <c r="F17" s="2">
        <v>205</v>
      </c>
      <c r="G17" s="2">
        <v>143</v>
      </c>
      <c r="H17" s="2">
        <v>104</v>
      </c>
      <c r="I17" s="2">
        <v>94</v>
      </c>
      <c r="J17" s="2">
        <v>95</v>
      </c>
      <c r="K17" s="2">
        <v>86</v>
      </c>
      <c r="L17" s="2">
        <v>42</v>
      </c>
      <c r="M17" s="2">
        <v>43</v>
      </c>
      <c r="N17" s="2">
        <v>45</v>
      </c>
      <c r="O17" s="2">
        <v>139</v>
      </c>
      <c r="P17" s="2">
        <v>209</v>
      </c>
      <c r="Q17" s="2">
        <v>236</v>
      </c>
      <c r="R17" s="5">
        <v>120</v>
      </c>
    </row>
    <row r="18" spans="4:18" x14ac:dyDescent="0.3">
      <c r="E18" s="8">
        <v>2019</v>
      </c>
      <c r="F18" s="2">
        <v>190</v>
      </c>
      <c r="G18" s="2">
        <v>123</v>
      </c>
      <c r="H18" s="2">
        <v>83</v>
      </c>
      <c r="I18" s="2">
        <v>81</v>
      </c>
      <c r="J18" s="2">
        <v>88</v>
      </c>
      <c r="K18" s="2">
        <v>63</v>
      </c>
      <c r="L18" s="2">
        <v>46</v>
      </c>
      <c r="M18" s="2">
        <v>34</v>
      </c>
      <c r="N18" s="2">
        <v>39</v>
      </c>
      <c r="O18" s="2">
        <v>114</v>
      </c>
      <c r="P18" s="2">
        <v>187</v>
      </c>
      <c r="Q18" s="2">
        <v>203</v>
      </c>
      <c r="R18" s="6">
        <v>105</v>
      </c>
    </row>
    <row r="19" spans="4:18" x14ac:dyDescent="0.3">
      <c r="E19" s="7">
        <v>2020</v>
      </c>
      <c r="F19" s="2">
        <v>148</v>
      </c>
      <c r="G19" s="2">
        <v>120</v>
      </c>
      <c r="H19" s="2">
        <v>57</v>
      </c>
      <c r="I19" s="2">
        <v>44</v>
      </c>
      <c r="J19" s="2">
        <v>54</v>
      </c>
      <c r="K19" s="2">
        <v>46</v>
      </c>
      <c r="L19" s="2">
        <v>34</v>
      </c>
      <c r="M19" s="2">
        <v>24</v>
      </c>
      <c r="N19" s="2">
        <v>47</v>
      </c>
      <c r="O19" s="2">
        <v>132</v>
      </c>
      <c r="P19" s="2">
        <v>199</v>
      </c>
      <c r="Q19" s="2">
        <v>190</v>
      </c>
      <c r="R19" s="5">
        <v>93</v>
      </c>
    </row>
    <row r="20" spans="4:18" x14ac:dyDescent="0.3">
      <c r="E20" s="8">
        <v>2021</v>
      </c>
      <c r="F20" s="2">
        <v>187</v>
      </c>
      <c r="G20" s="2">
        <v>150</v>
      </c>
      <c r="H20" s="2">
        <v>96</v>
      </c>
      <c r="I20" s="2">
        <v>86</v>
      </c>
      <c r="J20" s="2">
        <v>53</v>
      </c>
      <c r="K20" s="2">
        <v>53</v>
      </c>
      <c r="L20" s="2">
        <v>39</v>
      </c>
      <c r="M20" s="2">
        <v>41</v>
      </c>
      <c r="N20" s="2">
        <v>32</v>
      </c>
      <c r="O20" s="2">
        <v>74</v>
      </c>
      <c r="P20" s="3">
        <v>230.45</v>
      </c>
      <c r="Q20" s="3">
        <v>191.45</v>
      </c>
      <c r="R20" s="6">
        <v>106</v>
      </c>
    </row>
    <row r="21" spans="4:18" x14ac:dyDescent="0.3">
      <c r="E21" s="7">
        <v>2022</v>
      </c>
      <c r="F21" s="2">
        <v>150</v>
      </c>
      <c r="G21" s="2">
        <v>103</v>
      </c>
      <c r="H21" s="2">
        <v>98</v>
      </c>
      <c r="I21" s="2">
        <v>106</v>
      </c>
      <c r="J21" s="2">
        <v>78</v>
      </c>
      <c r="K21" s="2">
        <v>62</v>
      </c>
      <c r="L21" s="2">
        <v>35</v>
      </c>
      <c r="M21" s="2">
        <v>32</v>
      </c>
      <c r="N21" s="2">
        <v>40</v>
      </c>
      <c r="O21" s="2">
        <v>106</v>
      </c>
      <c r="P21" s="2">
        <v>178</v>
      </c>
      <c r="Q21" s="2">
        <v>171</v>
      </c>
      <c r="R21" s="5">
        <v>99.7</v>
      </c>
    </row>
    <row r="22" spans="4:18" x14ac:dyDescent="0.3">
      <c r="E22" s="8">
        <v>2023</v>
      </c>
      <c r="F22" s="3">
        <v>175.232899</v>
      </c>
      <c r="G22" s="3">
        <v>114.38470599999999</v>
      </c>
      <c r="H22" s="3">
        <v>77.732664150000005</v>
      </c>
      <c r="I22" s="3">
        <v>66.088810510000002</v>
      </c>
      <c r="J22" s="3">
        <v>65.126872370000001</v>
      </c>
      <c r="K22" s="3">
        <v>45.505431629999997</v>
      </c>
      <c r="L22" s="3">
        <v>33.918681990000003</v>
      </c>
      <c r="M22" s="3">
        <v>38.310519730000003</v>
      </c>
      <c r="N22" s="3">
        <v>42.982746040000002</v>
      </c>
      <c r="O22" s="3">
        <v>104.86342569999999</v>
      </c>
      <c r="P22" s="3">
        <v>241.9999</v>
      </c>
      <c r="Q22" s="3">
        <v>200.45894530000001</v>
      </c>
      <c r="R22" s="6">
        <v>103.34622349999999</v>
      </c>
    </row>
    <row r="23" spans="4:18" x14ac:dyDescent="0.3">
      <c r="E23" s="7">
        <v>2024</v>
      </c>
      <c r="F23" s="3">
        <v>202.8046401</v>
      </c>
      <c r="G23" s="3">
        <v>104.4008211</v>
      </c>
      <c r="H23" s="3">
        <v>77.610635479999999</v>
      </c>
      <c r="I23" s="3">
        <v>70.286510210000003</v>
      </c>
      <c r="J23" s="3">
        <v>89.38746956</v>
      </c>
      <c r="K23" s="3">
        <v>59.021960559999997</v>
      </c>
      <c r="L23" s="3">
        <v>39.683514989999999</v>
      </c>
      <c r="M23" s="3">
        <v>27.38174871</v>
      </c>
      <c r="N23" s="3">
        <v>42.968383609999997</v>
      </c>
      <c r="O23" s="3">
        <v>109.96127730000001</v>
      </c>
      <c r="P23" s="3">
        <v>225.286923</v>
      </c>
      <c r="Q23" s="3">
        <v>164.06165480000001</v>
      </c>
      <c r="R23" s="5">
        <v>101.563939</v>
      </c>
    </row>
    <row r="24" spans="4:18" x14ac:dyDescent="0.3">
      <c r="E24" s="7">
        <v>2025</v>
      </c>
      <c r="F24" s="3">
        <v>162.4</v>
      </c>
      <c r="G24" s="3">
        <v>97.001005396694197</v>
      </c>
      <c r="H24" s="3">
        <v>70.493896538944597</v>
      </c>
      <c r="I24" s="3">
        <v>76.625733817257597</v>
      </c>
      <c r="J24" s="3">
        <v>65.869472784596297</v>
      </c>
      <c r="K24" s="3">
        <v>50.4</v>
      </c>
      <c r="L24" s="3">
        <v>29.578822710000001</v>
      </c>
      <c r="M24" s="3">
        <v>32.817674310000001</v>
      </c>
      <c r="N24" s="3">
        <v>35.624257780000001</v>
      </c>
      <c r="O24" s="3">
        <v>102.8824297</v>
      </c>
      <c r="P24" s="3">
        <v>220.2200273</v>
      </c>
      <c r="Q24" s="3"/>
      <c r="R24" s="5"/>
    </row>
    <row r="26" spans="4:18" x14ac:dyDescent="0.3">
      <c r="F26" s="1" t="s">
        <v>1</v>
      </c>
      <c r="G26" s="1" t="s">
        <v>2</v>
      </c>
      <c r="H26" s="1" t="s">
        <v>3</v>
      </c>
      <c r="I26" s="1" t="s">
        <v>4</v>
      </c>
      <c r="J26" s="1" t="s">
        <v>5</v>
      </c>
      <c r="K26" s="1" t="s">
        <v>6</v>
      </c>
      <c r="L26" s="1" t="s">
        <v>7</v>
      </c>
      <c r="M26" s="1" t="s">
        <v>8</v>
      </c>
      <c r="N26" s="1" t="s">
        <v>9</v>
      </c>
      <c r="O26" s="1" t="s">
        <v>10</v>
      </c>
      <c r="P26" s="1" t="s">
        <v>11</v>
      </c>
      <c r="Q26" s="1" t="s">
        <v>12</v>
      </c>
      <c r="R26" s="4" t="s">
        <v>13</v>
      </c>
    </row>
    <row r="27" spans="4:18" x14ac:dyDescent="0.3">
      <c r="D27" s="11" t="s">
        <v>50</v>
      </c>
      <c r="F27" s="9">
        <f t="shared" ref="F27:Q27" si="0">AVERAGE(F18:F24)</f>
        <v>173.63393415714287</v>
      </c>
      <c r="G27" s="9">
        <f t="shared" si="0"/>
        <v>115.96950464238489</v>
      </c>
      <c r="H27" s="9">
        <f t="shared" si="0"/>
        <v>79.976742309849229</v>
      </c>
      <c r="I27" s="9">
        <f t="shared" si="0"/>
        <v>75.714436362465378</v>
      </c>
      <c r="J27" s="9">
        <f t="shared" si="0"/>
        <v>70.483402102085179</v>
      </c>
      <c r="K27" s="9">
        <f t="shared" si="0"/>
        <v>54.132484598571423</v>
      </c>
      <c r="L27" s="9">
        <f t="shared" si="0"/>
        <v>36.740145670000004</v>
      </c>
      <c r="M27" s="9">
        <f t="shared" si="0"/>
        <v>32.787134678571434</v>
      </c>
      <c r="N27" s="9">
        <f t="shared" si="0"/>
        <v>39.939341061428571</v>
      </c>
      <c r="O27" s="9">
        <f t="shared" si="0"/>
        <v>106.24387609999999</v>
      </c>
      <c r="P27" s="9">
        <f t="shared" si="0"/>
        <v>211.7081214714286</v>
      </c>
      <c r="Q27" s="9">
        <f t="shared" si="0"/>
        <v>186.66176668333333</v>
      </c>
      <c r="R27" s="10">
        <f>AVERAGE(F27:Q27)</f>
        <v>98.665907486438414</v>
      </c>
    </row>
    <row r="28" spans="4:18" x14ac:dyDescent="0.3">
      <c r="D28" s="11">
        <v>2020</v>
      </c>
      <c r="F28" s="12">
        <f>F19</f>
        <v>148</v>
      </c>
      <c r="G28" s="12">
        <f t="shared" ref="G28:R28" si="1">G19</f>
        <v>120</v>
      </c>
      <c r="H28" s="35">
        <f t="shared" si="1"/>
        <v>57</v>
      </c>
      <c r="I28" s="35">
        <f t="shared" si="1"/>
        <v>44</v>
      </c>
      <c r="J28" s="35">
        <f t="shared" si="1"/>
        <v>54</v>
      </c>
      <c r="K28" s="12">
        <f t="shared" si="1"/>
        <v>46</v>
      </c>
      <c r="L28" s="12">
        <f t="shared" si="1"/>
        <v>34</v>
      </c>
      <c r="M28" s="12">
        <f t="shared" si="1"/>
        <v>24</v>
      </c>
      <c r="N28" s="12">
        <f t="shared" si="1"/>
        <v>47</v>
      </c>
      <c r="O28" s="12">
        <f t="shared" si="1"/>
        <v>132</v>
      </c>
      <c r="P28" s="12">
        <f t="shared" si="1"/>
        <v>199</v>
      </c>
      <c r="Q28" s="12">
        <f t="shared" si="1"/>
        <v>190</v>
      </c>
      <c r="R28" s="13">
        <f t="shared" si="1"/>
        <v>93</v>
      </c>
    </row>
    <row r="29" spans="4:18" x14ac:dyDescent="0.3">
      <c r="D29" s="11" t="s">
        <v>51</v>
      </c>
      <c r="H29" s="36">
        <f>(H27-H28)/H27</f>
        <v>0.2872928009599563</v>
      </c>
      <c r="I29" s="36">
        <f t="shared" ref="I29:J29" si="2">(I27-I28)/I27</f>
        <v>0.41886908080038843</v>
      </c>
      <c r="J29" s="36">
        <f t="shared" si="2"/>
        <v>0.2338621804635837</v>
      </c>
    </row>
    <row r="30" spans="4:18" x14ac:dyDescent="0.3">
      <c r="D30" s="11"/>
    </row>
    <row r="31" spans="4:18" x14ac:dyDescent="0.3">
      <c r="D31" s="11" t="s">
        <v>17</v>
      </c>
      <c r="F31" s="9">
        <f>F27</f>
        <v>173.63393415714287</v>
      </c>
      <c r="G31" s="9">
        <f t="shared" ref="G31:Q31" si="3">G27</f>
        <v>115.96950464238489</v>
      </c>
      <c r="H31" s="9">
        <f t="shared" si="3"/>
        <v>79.976742309849229</v>
      </c>
      <c r="I31" s="9">
        <f t="shared" si="3"/>
        <v>75.714436362465378</v>
      </c>
      <c r="J31" s="9">
        <f t="shared" si="3"/>
        <v>70.483402102085179</v>
      </c>
      <c r="K31" s="9">
        <f t="shared" si="3"/>
        <v>54.132484598571423</v>
      </c>
      <c r="L31" s="9">
        <f t="shared" si="3"/>
        <v>36.740145670000004</v>
      </c>
      <c r="M31" s="9">
        <f t="shared" si="3"/>
        <v>32.787134678571434</v>
      </c>
      <c r="N31" s="9">
        <f t="shared" si="3"/>
        <v>39.939341061428571</v>
      </c>
      <c r="O31" s="9">
        <f t="shared" si="3"/>
        <v>106.24387609999999</v>
      </c>
      <c r="P31" s="9">
        <f t="shared" si="3"/>
        <v>211.7081214714286</v>
      </c>
      <c r="Q31" s="9">
        <f t="shared" si="3"/>
        <v>186.66176668333333</v>
      </c>
      <c r="R31" s="10">
        <f>AVERAGE(F31:Q31)</f>
        <v>98.665907486438414</v>
      </c>
    </row>
    <row r="32" spans="4:18" x14ac:dyDescent="0.3">
      <c r="D32" s="1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</row>
    <row r="33" spans="4:18" x14ac:dyDescent="0.3">
      <c r="D33" s="14" t="s">
        <v>52</v>
      </c>
      <c r="E33" s="15"/>
      <c r="F33" s="16">
        <v>0.5</v>
      </c>
      <c r="G33" s="16">
        <v>0.25</v>
      </c>
      <c r="H33" s="15"/>
      <c r="I33" s="15"/>
      <c r="J33" s="15"/>
      <c r="K33" s="15"/>
      <c r="L33" s="15"/>
      <c r="M33" s="15"/>
      <c r="N33" s="15"/>
      <c r="O33" s="15"/>
      <c r="P33" s="16">
        <v>0.25</v>
      </c>
      <c r="Q33" s="16">
        <v>0.5</v>
      </c>
    </row>
    <row r="34" spans="4:18" x14ac:dyDescent="0.3">
      <c r="D34" s="14" t="s">
        <v>53</v>
      </c>
      <c r="E34" s="15"/>
      <c r="F34" s="16"/>
      <c r="G34" s="16"/>
      <c r="H34" s="15"/>
      <c r="I34" s="16">
        <v>0.1</v>
      </c>
      <c r="J34" s="16">
        <v>0.25</v>
      </c>
      <c r="K34" s="17"/>
      <c r="L34" s="17"/>
      <c r="M34" s="17"/>
      <c r="N34" s="17"/>
      <c r="O34" s="16">
        <v>0.15</v>
      </c>
      <c r="P34" s="16">
        <v>0.25</v>
      </c>
      <c r="Q34" s="16"/>
    </row>
    <row r="35" spans="4:18" x14ac:dyDescent="0.3">
      <c r="D35" s="14" t="s">
        <v>14</v>
      </c>
      <c r="E35" s="15"/>
      <c r="F35" s="37">
        <f>F31*F33</f>
        <v>86.816967078571437</v>
      </c>
      <c r="G35" s="37">
        <f>G31*G33</f>
        <v>28.992376160596223</v>
      </c>
      <c r="H35" s="37">
        <f t="shared" ref="H35:O35" si="4">H31*H33</f>
        <v>0</v>
      </c>
      <c r="I35" s="37">
        <f t="shared" si="4"/>
        <v>0</v>
      </c>
      <c r="J35" s="37">
        <f t="shared" si="4"/>
        <v>0</v>
      </c>
      <c r="K35" s="37">
        <f t="shared" si="4"/>
        <v>0</v>
      </c>
      <c r="L35" s="37">
        <f t="shared" si="4"/>
        <v>0</v>
      </c>
      <c r="M35" s="37">
        <f t="shared" si="4"/>
        <v>0</v>
      </c>
      <c r="N35" s="37">
        <f t="shared" si="4"/>
        <v>0</v>
      </c>
      <c r="O35" s="37">
        <f t="shared" si="4"/>
        <v>0</v>
      </c>
      <c r="P35" s="37">
        <f>P31*P33</f>
        <v>52.927030367857149</v>
      </c>
      <c r="Q35" s="37">
        <f>Q31*Q33</f>
        <v>93.330883341666663</v>
      </c>
      <c r="R35" s="10">
        <f>AVERAGE(F35:Q35)</f>
        <v>21.838938079057623</v>
      </c>
    </row>
    <row r="36" spans="4:18" x14ac:dyDescent="0.3">
      <c r="D36" s="14" t="s">
        <v>15</v>
      </c>
      <c r="E36" s="15"/>
      <c r="F36" s="37">
        <f t="shared" ref="F36:H36" si="5">F31*F34</f>
        <v>0</v>
      </c>
      <c r="G36" s="37">
        <f t="shared" si="5"/>
        <v>0</v>
      </c>
      <c r="H36" s="37">
        <f t="shared" si="5"/>
        <v>0</v>
      </c>
      <c r="I36" s="37">
        <f>I31*I34</f>
        <v>7.5714436362465385</v>
      </c>
      <c r="J36" s="37">
        <f>J31*J34</f>
        <v>17.620850525521295</v>
      </c>
      <c r="K36" s="37">
        <f t="shared" ref="K36:N36" si="6">K31*K34</f>
        <v>0</v>
      </c>
      <c r="L36" s="37">
        <f t="shared" si="6"/>
        <v>0</v>
      </c>
      <c r="M36" s="37">
        <f t="shared" si="6"/>
        <v>0</v>
      </c>
      <c r="N36" s="37">
        <f t="shared" si="6"/>
        <v>0</v>
      </c>
      <c r="O36" s="37">
        <f>O31*O34</f>
        <v>15.936581414999999</v>
      </c>
      <c r="P36" s="37">
        <f>P31*P34</f>
        <v>52.927030367857149</v>
      </c>
      <c r="Q36" s="37">
        <f>Q31*Q34</f>
        <v>0</v>
      </c>
      <c r="R36" s="10">
        <f>AVERAGE(F36:Q36)</f>
        <v>7.8379921620520818</v>
      </c>
    </row>
    <row r="37" spans="4:18" x14ac:dyDescent="0.3">
      <c r="D37" s="11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4:18" x14ac:dyDescent="0.3">
      <c r="D38" s="39" t="s">
        <v>16</v>
      </c>
      <c r="E38" s="40"/>
      <c r="F38" s="41">
        <f>F31-F35-F36</f>
        <v>86.816967078571437</v>
      </c>
      <c r="G38" s="41">
        <f t="shared" ref="G38:Q38" si="7">G31-G35-G36</f>
        <v>86.977128481788668</v>
      </c>
      <c r="H38" s="41">
        <f t="shared" si="7"/>
        <v>79.976742309849229</v>
      </c>
      <c r="I38" s="41">
        <f t="shared" si="7"/>
        <v>68.142992726218836</v>
      </c>
      <c r="J38" s="41">
        <f t="shared" si="7"/>
        <v>52.862551576563888</v>
      </c>
      <c r="K38" s="41">
        <f t="shared" si="7"/>
        <v>54.132484598571423</v>
      </c>
      <c r="L38" s="41">
        <f t="shared" si="7"/>
        <v>36.740145670000004</v>
      </c>
      <c r="M38" s="41">
        <f t="shared" si="7"/>
        <v>32.787134678571434</v>
      </c>
      <c r="N38" s="41">
        <f t="shared" si="7"/>
        <v>39.939341061428571</v>
      </c>
      <c r="O38" s="41">
        <f t="shared" si="7"/>
        <v>90.307294684999988</v>
      </c>
      <c r="P38" s="41">
        <f t="shared" si="7"/>
        <v>105.85406073571428</v>
      </c>
      <c r="Q38" s="41">
        <f t="shared" si="7"/>
        <v>93.330883341666663</v>
      </c>
      <c r="R38" s="10">
        <f>AVERAGE(F38:Q38)</f>
        <v>68.988977245328698</v>
      </c>
    </row>
    <row r="39" spans="4:18" x14ac:dyDescent="0.3">
      <c r="D39" s="39" t="s">
        <v>54</v>
      </c>
      <c r="E39" s="40"/>
      <c r="F39" s="41">
        <f>F38*50%</f>
        <v>43.408483539285719</v>
      </c>
      <c r="G39" s="41">
        <f t="shared" ref="G39:Q39" si="8">G38*50%</f>
        <v>43.488564240894334</v>
      </c>
      <c r="H39" s="41">
        <f t="shared" si="8"/>
        <v>39.988371154924614</v>
      </c>
      <c r="I39" s="41">
        <f t="shared" si="8"/>
        <v>34.071496363109418</v>
      </c>
      <c r="J39" s="41">
        <f t="shared" si="8"/>
        <v>26.431275788281944</v>
      </c>
      <c r="K39" s="41">
        <f t="shared" si="8"/>
        <v>27.066242299285712</v>
      </c>
      <c r="L39" s="41">
        <f t="shared" si="8"/>
        <v>18.370072835000002</v>
      </c>
      <c r="M39" s="41">
        <f t="shared" si="8"/>
        <v>16.393567339285717</v>
      </c>
      <c r="N39" s="41">
        <f t="shared" si="8"/>
        <v>19.969670530714286</v>
      </c>
      <c r="O39" s="41">
        <f t="shared" si="8"/>
        <v>45.153647342499994</v>
      </c>
      <c r="P39" s="41">
        <f t="shared" si="8"/>
        <v>52.927030367857142</v>
      </c>
      <c r="Q39" s="41">
        <f t="shared" si="8"/>
        <v>46.665441670833332</v>
      </c>
    </row>
    <row r="40" spans="4:18" x14ac:dyDescent="0.3">
      <c r="D40" s="11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4:18" x14ac:dyDescent="0.3">
      <c r="D41" s="42" t="s">
        <v>55</v>
      </c>
      <c r="E41" s="43"/>
      <c r="F41" s="44">
        <f>F35+F36+(F38-F39)</f>
        <v>130.22545061785715</v>
      </c>
      <c r="G41" s="44">
        <f t="shared" ref="G41:Q41" si="9">G35+G36+(G38-G39)</f>
        <v>72.480940401490557</v>
      </c>
      <c r="H41" s="44">
        <f t="shared" si="9"/>
        <v>39.988371154924614</v>
      </c>
      <c r="I41" s="44">
        <f t="shared" si="9"/>
        <v>41.64293999935596</v>
      </c>
      <c r="J41" s="44">
        <f t="shared" si="9"/>
        <v>44.052126313803242</v>
      </c>
      <c r="K41" s="44">
        <f t="shared" si="9"/>
        <v>27.066242299285712</v>
      </c>
      <c r="L41" s="44">
        <f t="shared" si="9"/>
        <v>18.370072835000002</v>
      </c>
      <c r="M41" s="44">
        <f t="shared" si="9"/>
        <v>16.393567339285717</v>
      </c>
      <c r="N41" s="44">
        <f t="shared" si="9"/>
        <v>19.969670530714286</v>
      </c>
      <c r="O41" s="44">
        <f t="shared" si="9"/>
        <v>61.090228757499993</v>
      </c>
      <c r="P41" s="44">
        <f t="shared" si="9"/>
        <v>158.78109110357144</v>
      </c>
      <c r="Q41" s="44">
        <f t="shared" si="9"/>
        <v>139.99632501249999</v>
      </c>
      <c r="R41" s="45">
        <f>AVERAGE(F41:Q41)</f>
        <v>64.171418863774036</v>
      </c>
    </row>
    <row r="42" spans="4:18" x14ac:dyDescent="0.3">
      <c r="D42" s="42" t="s">
        <v>57</v>
      </c>
      <c r="E42" s="43"/>
      <c r="F42" s="44">
        <f>F35*25%+F36+(F38-F39)</f>
        <v>65.112725308928574</v>
      </c>
      <c r="G42" s="44">
        <f t="shared" ref="G42:Q42" si="10">G35*25%+G36+(G38-G39)</f>
        <v>50.73665828104339</v>
      </c>
      <c r="H42" s="44">
        <f t="shared" si="10"/>
        <v>39.988371154924614</v>
      </c>
      <c r="I42" s="44">
        <f t="shared" si="10"/>
        <v>41.64293999935596</v>
      </c>
      <c r="J42" s="44">
        <f t="shared" si="10"/>
        <v>44.052126313803242</v>
      </c>
      <c r="K42" s="44">
        <f t="shared" si="10"/>
        <v>27.066242299285712</v>
      </c>
      <c r="L42" s="44">
        <f t="shared" si="10"/>
        <v>18.370072835000002</v>
      </c>
      <c r="M42" s="44">
        <f t="shared" si="10"/>
        <v>16.393567339285717</v>
      </c>
      <c r="N42" s="44">
        <f t="shared" si="10"/>
        <v>19.969670530714286</v>
      </c>
      <c r="O42" s="44">
        <f t="shared" si="10"/>
        <v>61.090228757499993</v>
      </c>
      <c r="P42" s="44">
        <f t="shared" si="10"/>
        <v>119.08581832767858</v>
      </c>
      <c r="Q42" s="44">
        <f t="shared" si="10"/>
        <v>69.998162506249997</v>
      </c>
      <c r="R42" s="45">
        <f>AVERAGE(F42:Q42)</f>
        <v>47.792215304480834</v>
      </c>
    </row>
    <row r="43" spans="4:18" x14ac:dyDescent="0.3">
      <c r="D43" s="46" t="s">
        <v>56</v>
      </c>
      <c r="E43" s="47"/>
      <c r="F43" s="48">
        <f>F35*25%+(F38-F39)</f>
        <v>65.112725308928574</v>
      </c>
      <c r="G43" s="48">
        <f t="shared" ref="G43:Q43" si="11">G35*25%+(G38-G39)</f>
        <v>50.73665828104339</v>
      </c>
      <c r="H43" s="48">
        <f t="shared" si="11"/>
        <v>39.988371154924614</v>
      </c>
      <c r="I43" s="48">
        <f t="shared" si="11"/>
        <v>34.071496363109418</v>
      </c>
      <c r="J43" s="48">
        <f t="shared" si="11"/>
        <v>26.431275788281944</v>
      </c>
      <c r="K43" s="48">
        <f t="shared" si="11"/>
        <v>27.066242299285712</v>
      </c>
      <c r="L43" s="48">
        <f t="shared" si="11"/>
        <v>18.370072835000002</v>
      </c>
      <c r="M43" s="48">
        <f t="shared" si="11"/>
        <v>16.393567339285717</v>
      </c>
      <c r="N43" s="48">
        <f t="shared" si="11"/>
        <v>19.969670530714286</v>
      </c>
      <c r="O43" s="48">
        <f t="shared" si="11"/>
        <v>45.153647342499994</v>
      </c>
      <c r="P43" s="48">
        <f t="shared" si="11"/>
        <v>66.158787959821424</v>
      </c>
      <c r="Q43" s="48">
        <f t="shared" si="11"/>
        <v>69.998162506249997</v>
      </c>
      <c r="R43" s="49">
        <f>AVERAGE(F43:Q43)</f>
        <v>39.954223142428759</v>
      </c>
    </row>
  </sheetData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5ED17-D8D2-4ECF-A5B6-D53B17CA17BE}">
  <dimension ref="C1:U36"/>
  <sheetViews>
    <sheetView workbookViewId="0">
      <selection activeCell="C5" sqref="C5:P6"/>
    </sheetView>
  </sheetViews>
  <sheetFormatPr defaultRowHeight="14.4" x14ac:dyDescent="0.3"/>
  <cols>
    <col min="3" max="3" width="38" bestFit="1" customWidth="1"/>
    <col min="5" max="16" width="7.44140625" customWidth="1"/>
    <col min="17" max="17" width="9" customWidth="1"/>
    <col min="20" max="20" width="12.21875" bestFit="1" customWidth="1"/>
    <col min="21" max="21" width="12.5546875" bestFit="1" customWidth="1"/>
  </cols>
  <sheetData>
    <row r="1" spans="3:17" x14ac:dyDescent="0.3">
      <c r="C1" s="11"/>
    </row>
    <row r="2" spans="3:17" x14ac:dyDescent="0.3">
      <c r="C2" s="11" t="s">
        <v>17</v>
      </c>
      <c r="E2" s="9">
        <f>AVERAGE(monthly_concs!C18:C24)</f>
        <v>173.58323431486701</v>
      </c>
      <c r="F2" s="9">
        <f>AVERAGE(monthly_concs!D18:D24)</f>
        <v>115.96950464238489</v>
      </c>
      <c r="G2" s="9">
        <f>AVERAGE(monthly_concs!E18:E24)</f>
        <v>79.976742309849229</v>
      </c>
      <c r="H2" s="9">
        <f>AVERAGE(monthly_concs!F18:F24)</f>
        <v>75.714436362465378</v>
      </c>
      <c r="I2" s="9">
        <f>AVERAGE(monthly_concs!G18:G24)</f>
        <v>70.483402102085179</v>
      </c>
      <c r="J2" s="9">
        <f>AVERAGE(monthly_concs!H18:H24)</f>
        <v>54.057600411656097</v>
      </c>
      <c r="K2" s="9">
        <f>AVERAGE(monthly_concs!I18:I24)</f>
        <v>36.740145670000004</v>
      </c>
      <c r="L2" s="9">
        <f>AVERAGE(monthly_concs!J18:J24)</f>
        <v>32.787134678571434</v>
      </c>
      <c r="M2" s="9">
        <f>AVERAGE(monthly_concs!K18:K24)</f>
        <v>39.939341061428571</v>
      </c>
      <c r="N2" s="9">
        <f>AVERAGE(monthly_concs!L18:L24)</f>
        <v>106.24387609999999</v>
      </c>
      <c r="O2" s="9">
        <f>AVERAGE(monthly_concs!M18:M24)</f>
        <v>211.62619897142858</v>
      </c>
      <c r="P2" s="9">
        <f>AVERAGE(monthly_concs!N18:N24)</f>
        <v>186.58676668333331</v>
      </c>
      <c r="Q2" s="10">
        <f>AVERAGE(E2:P2)</f>
        <v>98.642365275672475</v>
      </c>
    </row>
    <row r="3" spans="3:17" x14ac:dyDescent="0.3">
      <c r="C3" s="11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</row>
    <row r="4" spans="3:17" x14ac:dyDescent="0.3"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11</v>
      </c>
      <c r="P4" s="1" t="s">
        <v>12</v>
      </c>
      <c r="Q4" s="4" t="s">
        <v>13</v>
      </c>
    </row>
    <row r="5" spans="3:17" x14ac:dyDescent="0.3">
      <c r="C5" s="14" t="s">
        <v>18</v>
      </c>
      <c r="D5" s="15"/>
      <c r="E5" s="16">
        <v>0.4</v>
      </c>
      <c r="F5" s="16">
        <v>0.25</v>
      </c>
      <c r="G5" s="15"/>
      <c r="H5" s="15"/>
      <c r="I5" s="15"/>
      <c r="J5" s="15"/>
      <c r="K5" s="15"/>
      <c r="L5" s="15"/>
      <c r="M5" s="15"/>
      <c r="N5" s="15"/>
      <c r="O5" s="16">
        <v>0.25</v>
      </c>
      <c r="P5" s="16">
        <v>0.4</v>
      </c>
    </row>
    <row r="6" spans="3:17" x14ac:dyDescent="0.3">
      <c r="C6" s="14" t="s">
        <v>19</v>
      </c>
      <c r="D6" s="15"/>
      <c r="E6" s="16"/>
      <c r="F6" s="16"/>
      <c r="G6" s="15"/>
      <c r="H6" s="16">
        <v>0.08</v>
      </c>
      <c r="I6" s="16">
        <v>0.15</v>
      </c>
      <c r="J6" s="17"/>
      <c r="K6" s="17"/>
      <c r="L6" s="17"/>
      <c r="M6" s="17"/>
      <c r="N6" s="16">
        <v>0.08</v>
      </c>
      <c r="O6" s="16">
        <v>0.15</v>
      </c>
      <c r="P6" s="16"/>
    </row>
    <row r="7" spans="3:17" x14ac:dyDescent="0.3">
      <c r="C7" s="19" t="s">
        <v>14</v>
      </c>
      <c r="D7" s="20"/>
      <c r="E7" s="21">
        <f t="shared" ref="E7:P7" si="0">E2*E5</f>
        <v>69.433293725946811</v>
      </c>
      <c r="F7" s="21">
        <f t="shared" si="0"/>
        <v>28.992376160596223</v>
      </c>
      <c r="G7" s="21">
        <f t="shared" si="0"/>
        <v>0</v>
      </c>
      <c r="H7" s="21">
        <f t="shared" si="0"/>
        <v>0</v>
      </c>
      <c r="I7" s="21">
        <f t="shared" si="0"/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1">
        <f t="shared" si="0"/>
        <v>52.906549742857145</v>
      </c>
      <c r="P7" s="21">
        <f t="shared" si="0"/>
        <v>74.634706673333326</v>
      </c>
      <c r="Q7" s="10">
        <f>AVERAGE(E7:P7)</f>
        <v>18.830577191894459</v>
      </c>
    </row>
    <row r="8" spans="3:17" x14ac:dyDescent="0.3">
      <c r="C8" s="19" t="s">
        <v>15</v>
      </c>
      <c r="D8" s="20"/>
      <c r="E8" s="21">
        <f t="shared" ref="E8:P8" si="1">E2*E6</f>
        <v>0</v>
      </c>
      <c r="F8" s="21">
        <f t="shared" si="1"/>
        <v>0</v>
      </c>
      <c r="G8" s="21">
        <f t="shared" si="1"/>
        <v>0</v>
      </c>
      <c r="H8" s="21">
        <f t="shared" si="1"/>
        <v>6.0571549089972301</v>
      </c>
      <c r="I8" s="21">
        <f t="shared" si="1"/>
        <v>10.572510315312776</v>
      </c>
      <c r="J8" s="21">
        <f t="shared" si="1"/>
        <v>0</v>
      </c>
      <c r="K8" s="21">
        <f t="shared" si="1"/>
        <v>0</v>
      </c>
      <c r="L8" s="21">
        <f t="shared" si="1"/>
        <v>0</v>
      </c>
      <c r="M8" s="21">
        <f t="shared" si="1"/>
        <v>0</v>
      </c>
      <c r="N8" s="21">
        <f t="shared" si="1"/>
        <v>8.4995100879999992</v>
      </c>
      <c r="O8" s="21">
        <f t="shared" si="1"/>
        <v>31.743929845714284</v>
      </c>
      <c r="P8" s="21">
        <f t="shared" si="1"/>
        <v>0</v>
      </c>
      <c r="Q8" s="10">
        <f>AVERAGE(E8:P8)</f>
        <v>4.7394254298353573</v>
      </c>
    </row>
    <row r="9" spans="3:17" x14ac:dyDescent="0.3">
      <c r="C9" s="19" t="s">
        <v>16</v>
      </c>
      <c r="D9" s="20"/>
      <c r="E9" s="22">
        <f t="shared" ref="E9:P9" si="2">E2-E7-E8</f>
        <v>104.1499405889202</v>
      </c>
      <c r="F9" s="22">
        <f t="shared" si="2"/>
        <v>86.977128481788668</v>
      </c>
      <c r="G9" s="22">
        <f t="shared" si="2"/>
        <v>79.976742309849229</v>
      </c>
      <c r="H9" s="22">
        <f t="shared" si="2"/>
        <v>69.657281453468144</v>
      </c>
      <c r="I9" s="22">
        <f t="shared" si="2"/>
        <v>59.910891786772403</v>
      </c>
      <c r="J9" s="22">
        <f t="shared" si="2"/>
        <v>54.057600411656097</v>
      </c>
      <c r="K9" s="22">
        <f t="shared" si="2"/>
        <v>36.740145670000004</v>
      </c>
      <c r="L9" s="22">
        <f t="shared" si="2"/>
        <v>32.787134678571434</v>
      </c>
      <c r="M9" s="22">
        <f t="shared" si="2"/>
        <v>39.939341061428571</v>
      </c>
      <c r="N9" s="22">
        <f t="shared" si="2"/>
        <v>97.744366012</v>
      </c>
      <c r="O9" s="22">
        <f t="shared" si="2"/>
        <v>126.97571938285714</v>
      </c>
      <c r="P9" s="22">
        <f t="shared" si="2"/>
        <v>111.95206000999998</v>
      </c>
      <c r="Q9" s="10">
        <f>AVERAGE(E9:P9)</f>
        <v>75.072362653942662</v>
      </c>
    </row>
    <row r="10" spans="3:17" x14ac:dyDescent="0.3">
      <c r="C10" s="11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</row>
    <row r="11" spans="3:17" x14ac:dyDescent="0.3">
      <c r="C11" s="18" t="s">
        <v>25</v>
      </c>
      <c r="D11" s="15"/>
      <c r="E11" s="16"/>
      <c r="F11" s="16"/>
      <c r="G11" s="15"/>
      <c r="H11" s="16"/>
      <c r="I11" s="16"/>
      <c r="J11" s="17"/>
      <c r="K11" s="17"/>
      <c r="L11" s="17"/>
      <c r="M11" s="17"/>
      <c r="N11" s="16"/>
      <c r="O11" s="16"/>
      <c r="P11" s="16"/>
    </row>
    <row r="12" spans="3:17" x14ac:dyDescent="0.3">
      <c r="C12" s="14" t="s">
        <v>20</v>
      </c>
      <c r="D12" s="15"/>
      <c r="E12" s="23">
        <v>0.35</v>
      </c>
      <c r="F12" s="23">
        <v>0.35</v>
      </c>
      <c r="G12" s="23">
        <v>0.35</v>
      </c>
      <c r="H12" s="23">
        <v>0.35</v>
      </c>
      <c r="I12" s="23">
        <v>0.35</v>
      </c>
      <c r="J12" s="23">
        <v>0.35</v>
      </c>
      <c r="K12" s="23">
        <v>0.35</v>
      </c>
      <c r="L12" s="23">
        <v>0.35</v>
      </c>
      <c r="M12" s="23">
        <v>0.35</v>
      </c>
      <c r="N12" s="23">
        <v>0.35</v>
      </c>
      <c r="O12" s="23">
        <v>0.35</v>
      </c>
      <c r="P12" s="23">
        <v>0.35</v>
      </c>
    </row>
    <row r="13" spans="3:17" x14ac:dyDescent="0.3">
      <c r="C13" s="14" t="s">
        <v>21</v>
      </c>
      <c r="D13" s="15"/>
      <c r="E13" s="23">
        <v>0.12</v>
      </c>
      <c r="F13" s="23">
        <v>0.12</v>
      </c>
      <c r="G13" s="23">
        <v>0.12</v>
      </c>
      <c r="H13" s="23">
        <v>0.12</v>
      </c>
      <c r="I13" s="23">
        <v>0.12</v>
      </c>
      <c r="J13" s="23">
        <v>0.12</v>
      </c>
      <c r="K13" s="23">
        <v>0.12</v>
      </c>
      <c r="L13" s="23">
        <v>0.12</v>
      </c>
      <c r="M13" s="23">
        <v>0.12</v>
      </c>
      <c r="N13" s="23">
        <v>0.12</v>
      </c>
      <c r="O13" s="23">
        <v>0.12</v>
      </c>
      <c r="P13" s="23">
        <v>0.12</v>
      </c>
      <c r="Q13" s="10"/>
    </row>
    <row r="14" spans="3:17" x14ac:dyDescent="0.3">
      <c r="C14" s="14" t="s">
        <v>22</v>
      </c>
      <c r="D14" s="15"/>
      <c r="E14" s="23">
        <v>0.15</v>
      </c>
      <c r="F14" s="23">
        <v>0.15</v>
      </c>
      <c r="G14" s="23">
        <v>0.15</v>
      </c>
      <c r="H14" s="23">
        <v>0.15</v>
      </c>
      <c r="I14" s="23">
        <v>0.15</v>
      </c>
      <c r="J14" s="23">
        <v>0.15</v>
      </c>
      <c r="K14" s="23">
        <v>0.15</v>
      </c>
      <c r="L14" s="23">
        <v>0.15</v>
      </c>
      <c r="M14" s="23">
        <v>0.15</v>
      </c>
      <c r="N14" s="23">
        <v>0.15</v>
      </c>
      <c r="O14" s="23">
        <v>0.15</v>
      </c>
      <c r="P14" s="23">
        <v>0.15</v>
      </c>
      <c r="Q14" s="10"/>
    </row>
    <row r="15" spans="3:17" x14ac:dyDescent="0.3">
      <c r="C15" s="14" t="s">
        <v>23</v>
      </c>
      <c r="D15" s="15"/>
      <c r="E15" s="23">
        <v>0.2</v>
      </c>
      <c r="F15" s="23">
        <v>0.2</v>
      </c>
      <c r="G15" s="23">
        <v>0.2</v>
      </c>
      <c r="H15" s="23">
        <v>0.2</v>
      </c>
      <c r="I15" s="23">
        <v>0.2</v>
      </c>
      <c r="J15" s="23">
        <v>0.2</v>
      </c>
      <c r="K15" s="23">
        <v>0.2</v>
      </c>
      <c r="L15" s="23">
        <v>0.2</v>
      </c>
      <c r="M15" s="23">
        <v>0.2</v>
      </c>
      <c r="N15" s="23">
        <v>0.2</v>
      </c>
      <c r="O15" s="23">
        <v>0.2</v>
      </c>
      <c r="P15" s="23">
        <v>0.2</v>
      </c>
      <c r="Q15" s="10"/>
    </row>
    <row r="16" spans="3:17" x14ac:dyDescent="0.3">
      <c r="C16" s="14" t="s">
        <v>24</v>
      </c>
      <c r="D16" s="15"/>
      <c r="E16" s="23">
        <v>0.12</v>
      </c>
      <c r="F16" s="23">
        <v>0.12</v>
      </c>
      <c r="G16" s="23">
        <v>0.12</v>
      </c>
      <c r="H16" s="23">
        <v>0.12</v>
      </c>
      <c r="I16" s="23">
        <v>0.12</v>
      </c>
      <c r="J16" s="23">
        <v>0.12</v>
      </c>
      <c r="K16" s="23">
        <v>0.12</v>
      </c>
      <c r="L16" s="23">
        <v>0.12</v>
      </c>
      <c r="M16" s="23">
        <v>0.12</v>
      </c>
      <c r="N16" s="23">
        <v>0.12</v>
      </c>
      <c r="O16" s="23">
        <v>0.12</v>
      </c>
      <c r="P16" s="23">
        <v>0.12</v>
      </c>
      <c r="Q16" s="10"/>
    </row>
    <row r="17" spans="3:21" x14ac:dyDescent="0.3">
      <c r="C17" s="14" t="s">
        <v>29</v>
      </c>
      <c r="D17" s="15"/>
      <c r="E17" s="23">
        <f>100%-SUM(E12:E16)</f>
        <v>5.9999999999999942E-2</v>
      </c>
      <c r="F17" s="23">
        <f t="shared" ref="F17:P17" si="3">100%-SUM(F12:F16)</f>
        <v>5.9999999999999942E-2</v>
      </c>
      <c r="G17" s="23">
        <f t="shared" si="3"/>
        <v>5.9999999999999942E-2</v>
      </c>
      <c r="H17" s="23">
        <f t="shared" si="3"/>
        <v>5.9999999999999942E-2</v>
      </c>
      <c r="I17" s="23">
        <f t="shared" si="3"/>
        <v>5.9999999999999942E-2</v>
      </c>
      <c r="J17" s="23">
        <f t="shared" si="3"/>
        <v>5.9999999999999942E-2</v>
      </c>
      <c r="K17" s="23">
        <f t="shared" si="3"/>
        <v>5.9999999999999942E-2</v>
      </c>
      <c r="L17" s="23">
        <f t="shared" si="3"/>
        <v>5.9999999999999942E-2</v>
      </c>
      <c r="M17" s="23">
        <f t="shared" si="3"/>
        <v>5.9999999999999942E-2</v>
      </c>
      <c r="N17" s="23">
        <f t="shared" si="3"/>
        <v>5.9999999999999942E-2</v>
      </c>
      <c r="O17" s="23">
        <f t="shared" si="3"/>
        <v>5.9999999999999942E-2</v>
      </c>
      <c r="P17" s="23">
        <f t="shared" si="3"/>
        <v>5.9999999999999942E-2</v>
      </c>
      <c r="Q17" s="10"/>
    </row>
    <row r="18" spans="3:21" x14ac:dyDescent="0.3">
      <c r="C18" s="19" t="s">
        <v>26</v>
      </c>
      <c r="D18" s="20"/>
      <c r="E18" s="21">
        <f>E$9*E12</f>
        <v>36.452479206122071</v>
      </c>
      <c r="F18" s="21">
        <f t="shared" ref="F18:P18" si="4">F$9*F12</f>
        <v>30.44199496862603</v>
      </c>
      <c r="G18" s="21">
        <f t="shared" si="4"/>
        <v>27.991859808447227</v>
      </c>
      <c r="H18" s="21">
        <f t="shared" si="4"/>
        <v>24.380048508713848</v>
      </c>
      <c r="I18" s="21">
        <f t="shared" si="4"/>
        <v>20.968812125370341</v>
      </c>
      <c r="J18" s="21">
        <f t="shared" si="4"/>
        <v>18.920160144079631</v>
      </c>
      <c r="K18" s="21">
        <f t="shared" si="4"/>
        <v>12.859050984500001</v>
      </c>
      <c r="L18" s="21">
        <f t="shared" si="4"/>
        <v>11.475497137500001</v>
      </c>
      <c r="M18" s="21">
        <f t="shared" si="4"/>
        <v>13.978769371499999</v>
      </c>
      <c r="N18" s="21">
        <f t="shared" si="4"/>
        <v>34.210528104199994</v>
      </c>
      <c r="O18" s="21">
        <f t="shared" si="4"/>
        <v>44.441501783999996</v>
      </c>
      <c r="P18" s="21">
        <f t="shared" si="4"/>
        <v>39.183221003499995</v>
      </c>
      <c r="Q18" s="10">
        <f>AVERAGE(E18:P18)</f>
        <v>26.275326928879924</v>
      </c>
    </row>
    <row r="19" spans="3:21" x14ac:dyDescent="0.3">
      <c r="C19" s="19" t="s">
        <v>27</v>
      </c>
      <c r="D19" s="20"/>
      <c r="E19" s="21">
        <f t="shared" ref="E19:P23" si="5">E$9*E13</f>
        <v>12.497992870670425</v>
      </c>
      <c r="F19" s="21">
        <f t="shared" si="5"/>
        <v>10.43725541781464</v>
      </c>
      <c r="G19" s="21">
        <f t="shared" si="5"/>
        <v>9.5972090771819065</v>
      </c>
      <c r="H19" s="21">
        <f t="shared" si="5"/>
        <v>8.3588737744161765</v>
      </c>
      <c r="I19" s="21">
        <f t="shared" si="5"/>
        <v>7.1893070144126883</v>
      </c>
      <c r="J19" s="21">
        <f t="shared" si="5"/>
        <v>6.4869120493987316</v>
      </c>
      <c r="K19" s="21">
        <f t="shared" si="5"/>
        <v>4.4088174804000007</v>
      </c>
      <c r="L19" s="21">
        <f t="shared" si="5"/>
        <v>3.9344561614285718</v>
      </c>
      <c r="M19" s="21">
        <f t="shared" si="5"/>
        <v>4.7927209273714286</v>
      </c>
      <c r="N19" s="21">
        <f t="shared" si="5"/>
        <v>11.729323921439999</v>
      </c>
      <c r="O19" s="21">
        <f t="shared" si="5"/>
        <v>15.237086325942856</v>
      </c>
      <c r="P19" s="21">
        <f t="shared" si="5"/>
        <v>13.434247201199998</v>
      </c>
      <c r="Q19" s="10">
        <f t="shared" ref="Q19:Q23" si="6">AVERAGE(E19:P19)</f>
        <v>9.0086835184731182</v>
      </c>
    </row>
    <row r="20" spans="3:21" x14ac:dyDescent="0.3">
      <c r="C20" s="19" t="s">
        <v>28</v>
      </c>
      <c r="D20" s="20"/>
      <c r="E20" s="21">
        <f t="shared" si="5"/>
        <v>15.62249108833803</v>
      </c>
      <c r="F20" s="21">
        <f t="shared" si="5"/>
        <v>13.0465692722683</v>
      </c>
      <c r="G20" s="21">
        <f t="shared" si="5"/>
        <v>11.996511346477384</v>
      </c>
      <c r="H20" s="21">
        <f t="shared" si="5"/>
        <v>10.448592218020222</v>
      </c>
      <c r="I20" s="21">
        <f t="shared" si="5"/>
        <v>8.9866337680158601</v>
      </c>
      <c r="J20" s="21">
        <f t="shared" si="5"/>
        <v>8.1086400617484138</v>
      </c>
      <c r="K20" s="21">
        <f t="shared" si="5"/>
        <v>5.5110218505000006</v>
      </c>
      <c r="L20" s="21">
        <f t="shared" si="5"/>
        <v>4.9180702017857145</v>
      </c>
      <c r="M20" s="21">
        <f t="shared" si="5"/>
        <v>5.9909011592142853</v>
      </c>
      <c r="N20" s="21">
        <f t="shared" si="5"/>
        <v>14.661654901799999</v>
      </c>
      <c r="O20" s="21">
        <f t="shared" si="5"/>
        <v>19.046357907428568</v>
      </c>
      <c r="P20" s="21">
        <f t="shared" si="5"/>
        <v>16.792809001499997</v>
      </c>
      <c r="Q20" s="10">
        <f t="shared" si="6"/>
        <v>11.260854398091398</v>
      </c>
    </row>
    <row r="21" spans="3:21" x14ac:dyDescent="0.3">
      <c r="C21" s="19" t="s">
        <v>30</v>
      </c>
      <c r="D21" s="20"/>
      <c r="E21" s="21">
        <f t="shared" si="5"/>
        <v>20.82998811778404</v>
      </c>
      <c r="F21" s="21">
        <f t="shared" si="5"/>
        <v>17.395425696357734</v>
      </c>
      <c r="G21" s="21">
        <f t="shared" si="5"/>
        <v>15.995348461969847</v>
      </c>
      <c r="H21" s="21">
        <f t="shared" si="5"/>
        <v>13.93145629069363</v>
      </c>
      <c r="I21" s="21">
        <f t="shared" si="5"/>
        <v>11.982178357354481</v>
      </c>
      <c r="J21" s="21">
        <f t="shared" si="5"/>
        <v>10.811520082331221</v>
      </c>
      <c r="K21" s="21">
        <f t="shared" si="5"/>
        <v>7.3480291340000008</v>
      </c>
      <c r="L21" s="21">
        <f t="shared" si="5"/>
        <v>6.5574269357142869</v>
      </c>
      <c r="M21" s="21">
        <f t="shared" si="5"/>
        <v>7.987868212285715</v>
      </c>
      <c r="N21" s="21">
        <f t="shared" si="5"/>
        <v>19.548873202400003</v>
      </c>
      <c r="O21" s="21">
        <f t="shared" si="5"/>
        <v>25.395143876571428</v>
      </c>
      <c r="P21" s="21">
        <f t="shared" si="5"/>
        <v>22.390412001999998</v>
      </c>
      <c r="Q21" s="10">
        <f t="shared" si="6"/>
        <v>15.014472530788536</v>
      </c>
    </row>
    <row r="22" spans="3:21" x14ac:dyDescent="0.3">
      <c r="C22" s="19" t="s">
        <v>31</v>
      </c>
      <c r="D22" s="20"/>
      <c r="E22" s="21">
        <f t="shared" si="5"/>
        <v>12.497992870670425</v>
      </c>
      <c r="F22" s="21">
        <f t="shared" si="5"/>
        <v>10.43725541781464</v>
      </c>
      <c r="G22" s="21">
        <f t="shared" si="5"/>
        <v>9.5972090771819065</v>
      </c>
      <c r="H22" s="21">
        <f t="shared" si="5"/>
        <v>8.3588737744161765</v>
      </c>
      <c r="I22" s="21">
        <f t="shared" si="5"/>
        <v>7.1893070144126883</v>
      </c>
      <c r="J22" s="21">
        <f t="shared" si="5"/>
        <v>6.4869120493987316</v>
      </c>
      <c r="K22" s="21">
        <f t="shared" si="5"/>
        <v>4.4088174804000007</v>
      </c>
      <c r="L22" s="21">
        <f t="shared" si="5"/>
        <v>3.9344561614285718</v>
      </c>
      <c r="M22" s="21">
        <f t="shared" si="5"/>
        <v>4.7927209273714286</v>
      </c>
      <c r="N22" s="21">
        <f t="shared" si="5"/>
        <v>11.729323921439999</v>
      </c>
      <c r="O22" s="21">
        <f t="shared" si="5"/>
        <v>15.237086325942856</v>
      </c>
      <c r="P22" s="21">
        <f t="shared" si="5"/>
        <v>13.434247201199998</v>
      </c>
      <c r="Q22" s="10">
        <f t="shared" si="6"/>
        <v>9.0086835184731182</v>
      </c>
    </row>
    <row r="23" spans="3:21" x14ac:dyDescent="0.3">
      <c r="C23" s="19" t="s">
        <v>32</v>
      </c>
      <c r="D23" s="20"/>
      <c r="E23" s="21">
        <f t="shared" si="5"/>
        <v>6.2489964353352061</v>
      </c>
      <c r="F23" s="21">
        <f t="shared" si="5"/>
        <v>5.2186277089073148</v>
      </c>
      <c r="G23" s="21">
        <f t="shared" si="5"/>
        <v>4.7986045385909488</v>
      </c>
      <c r="H23" s="21">
        <f t="shared" si="5"/>
        <v>4.1794368872080847</v>
      </c>
      <c r="I23" s="21">
        <f t="shared" si="5"/>
        <v>3.5946535072063406</v>
      </c>
      <c r="J23" s="21">
        <f t="shared" si="5"/>
        <v>3.2434560246993627</v>
      </c>
      <c r="K23" s="21">
        <f t="shared" si="5"/>
        <v>2.2044087401999981</v>
      </c>
      <c r="L23" s="21">
        <f t="shared" si="5"/>
        <v>1.9672280807142841</v>
      </c>
      <c r="M23" s="21">
        <f t="shared" si="5"/>
        <v>2.3963604636857121</v>
      </c>
      <c r="N23" s="21">
        <f t="shared" si="5"/>
        <v>5.8646619607199941</v>
      </c>
      <c r="O23" s="21">
        <f t="shared" si="5"/>
        <v>7.6185431629714211</v>
      </c>
      <c r="P23" s="21">
        <f t="shared" si="5"/>
        <v>6.7171236005999928</v>
      </c>
      <c r="Q23" s="10">
        <f t="shared" si="6"/>
        <v>4.5043417592365547</v>
      </c>
      <c r="S23" s="10">
        <f>SUM(S25:S32)</f>
        <v>98.642365275672461</v>
      </c>
      <c r="T23" s="10">
        <f>SUM(T25:T32)</f>
        <v>171.94142615300345</v>
      </c>
      <c r="U23" s="10">
        <f>SUM(U25:U32)</f>
        <v>40.881055455414021</v>
      </c>
    </row>
    <row r="24" spans="3:21" x14ac:dyDescent="0.3">
      <c r="C24" s="11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10"/>
      <c r="S24" t="s">
        <v>13</v>
      </c>
      <c r="T24" t="s">
        <v>40</v>
      </c>
      <c r="U24" t="s">
        <v>76</v>
      </c>
    </row>
    <row r="25" spans="3:21" x14ac:dyDescent="0.3">
      <c r="C25" s="25" t="s">
        <v>26</v>
      </c>
      <c r="D25" s="26"/>
      <c r="E25" s="27">
        <f>E18</f>
        <v>36.452479206122071</v>
      </c>
      <c r="F25" s="27">
        <f t="shared" ref="F25:P26" si="7">F18</f>
        <v>30.44199496862603</v>
      </c>
      <c r="G25" s="27">
        <f t="shared" si="7"/>
        <v>27.991859808447227</v>
      </c>
      <c r="H25" s="27">
        <f t="shared" si="7"/>
        <v>24.380048508713848</v>
      </c>
      <c r="I25" s="27">
        <f t="shared" si="7"/>
        <v>20.968812125370341</v>
      </c>
      <c r="J25" s="27">
        <f t="shared" si="7"/>
        <v>18.920160144079631</v>
      </c>
      <c r="K25" s="27">
        <f t="shared" si="7"/>
        <v>12.859050984500001</v>
      </c>
      <c r="L25" s="27">
        <f t="shared" si="7"/>
        <v>11.475497137500001</v>
      </c>
      <c r="M25" s="27">
        <f t="shared" si="7"/>
        <v>13.978769371499999</v>
      </c>
      <c r="N25" s="27">
        <f t="shared" si="7"/>
        <v>34.210528104199994</v>
      </c>
      <c r="O25" s="27">
        <f t="shared" si="7"/>
        <v>44.441501783999996</v>
      </c>
      <c r="P25" s="27">
        <f t="shared" si="7"/>
        <v>39.183221003499995</v>
      </c>
      <c r="Q25" s="10">
        <f t="shared" ref="Q25:Q32" si="8">AVERAGE(E25:P25)</f>
        <v>26.275326928879924</v>
      </c>
      <c r="R25" s="11" t="s">
        <v>35</v>
      </c>
      <c r="S25" s="9">
        <f>AVERAGE(E25:P25)</f>
        <v>26.275326928879924</v>
      </c>
      <c r="T25" s="9">
        <f>AVERAGE(E25,F25,O25,P25)</f>
        <v>37.629799240562022</v>
      </c>
      <c r="U25" s="9">
        <f>AVERAGE(J25:M25)</f>
        <v>14.308369409394908</v>
      </c>
    </row>
    <row r="26" spans="3:21" x14ac:dyDescent="0.3">
      <c r="C26" s="25" t="s">
        <v>27</v>
      </c>
      <c r="D26" s="26"/>
      <c r="E26" s="27">
        <f>E19</f>
        <v>12.497992870670425</v>
      </c>
      <c r="F26" s="27">
        <f t="shared" si="7"/>
        <v>10.43725541781464</v>
      </c>
      <c r="G26" s="27">
        <f t="shared" si="7"/>
        <v>9.5972090771819065</v>
      </c>
      <c r="H26" s="27">
        <f t="shared" si="7"/>
        <v>8.3588737744161765</v>
      </c>
      <c r="I26" s="27">
        <f t="shared" si="7"/>
        <v>7.1893070144126883</v>
      </c>
      <c r="J26" s="27">
        <f t="shared" si="7"/>
        <v>6.4869120493987316</v>
      </c>
      <c r="K26" s="27">
        <f t="shared" si="7"/>
        <v>4.4088174804000007</v>
      </c>
      <c r="L26" s="27">
        <f t="shared" si="7"/>
        <v>3.9344561614285718</v>
      </c>
      <c r="M26" s="27">
        <f t="shared" si="7"/>
        <v>4.7927209273714286</v>
      </c>
      <c r="N26" s="27">
        <f t="shared" si="7"/>
        <v>11.729323921439999</v>
      </c>
      <c r="O26" s="27">
        <f t="shared" si="7"/>
        <v>15.237086325942856</v>
      </c>
      <c r="P26" s="27">
        <f t="shared" si="7"/>
        <v>13.434247201199998</v>
      </c>
      <c r="Q26" s="10">
        <f t="shared" si="8"/>
        <v>9.0086835184731182</v>
      </c>
      <c r="R26" s="11" t="s">
        <v>34</v>
      </c>
      <c r="S26" s="9">
        <f t="shared" ref="S26:S32" si="9">AVERAGE(E26:P26)</f>
        <v>9.0086835184731182</v>
      </c>
      <c r="T26" s="9">
        <f t="shared" ref="T26:T32" si="10">AVERAGE(E26,F26,O26,P26)</f>
        <v>12.90164545390698</v>
      </c>
      <c r="U26" s="9">
        <f t="shared" ref="U26:U32" si="11">AVERAGE(J26:M26)</f>
        <v>4.9057266546496834</v>
      </c>
    </row>
    <row r="27" spans="3:21" x14ac:dyDescent="0.3">
      <c r="C27" s="25" t="s">
        <v>28</v>
      </c>
      <c r="D27" s="26"/>
      <c r="E27" s="27">
        <f>E20</f>
        <v>15.62249108833803</v>
      </c>
      <c r="F27" s="27">
        <f t="shared" ref="F27:P27" si="12">F20</f>
        <v>13.0465692722683</v>
      </c>
      <c r="G27" s="27">
        <f t="shared" si="12"/>
        <v>11.996511346477384</v>
      </c>
      <c r="H27" s="27">
        <f t="shared" si="12"/>
        <v>10.448592218020222</v>
      </c>
      <c r="I27" s="27">
        <f t="shared" si="12"/>
        <v>8.9866337680158601</v>
      </c>
      <c r="J27" s="27">
        <f t="shared" si="12"/>
        <v>8.1086400617484138</v>
      </c>
      <c r="K27" s="27">
        <f t="shared" si="12"/>
        <v>5.5110218505000006</v>
      </c>
      <c r="L27" s="27">
        <f t="shared" si="12"/>
        <v>4.9180702017857145</v>
      </c>
      <c r="M27" s="27">
        <f t="shared" si="12"/>
        <v>5.9909011592142853</v>
      </c>
      <c r="N27" s="27">
        <f t="shared" si="12"/>
        <v>14.661654901799999</v>
      </c>
      <c r="O27" s="27">
        <f t="shared" si="12"/>
        <v>19.046357907428568</v>
      </c>
      <c r="P27" s="27">
        <f t="shared" si="12"/>
        <v>16.792809001499997</v>
      </c>
      <c r="Q27" s="10">
        <f t="shared" si="8"/>
        <v>11.260854398091398</v>
      </c>
      <c r="R27" s="11" t="s">
        <v>41</v>
      </c>
      <c r="S27" s="9">
        <f t="shared" si="9"/>
        <v>11.260854398091398</v>
      </c>
      <c r="T27" s="9">
        <f t="shared" si="10"/>
        <v>16.127056817383725</v>
      </c>
      <c r="U27" s="9">
        <f t="shared" si="11"/>
        <v>6.1321583183121033</v>
      </c>
    </row>
    <row r="28" spans="3:21" x14ac:dyDescent="0.3">
      <c r="C28" s="25" t="s">
        <v>14</v>
      </c>
      <c r="D28" s="26"/>
      <c r="E28" s="27">
        <f>E7</f>
        <v>69.433293725946811</v>
      </c>
      <c r="F28" s="27">
        <f t="shared" ref="F28:P28" si="13">F7</f>
        <v>28.992376160596223</v>
      </c>
      <c r="G28" s="27">
        <f t="shared" si="13"/>
        <v>0</v>
      </c>
      <c r="H28" s="27">
        <f t="shared" si="13"/>
        <v>0</v>
      </c>
      <c r="I28" s="27">
        <f t="shared" si="13"/>
        <v>0</v>
      </c>
      <c r="J28" s="27">
        <f t="shared" si="13"/>
        <v>0</v>
      </c>
      <c r="K28" s="27">
        <f t="shared" si="13"/>
        <v>0</v>
      </c>
      <c r="L28" s="27">
        <f t="shared" si="13"/>
        <v>0</v>
      </c>
      <c r="M28" s="27">
        <f t="shared" si="13"/>
        <v>0</v>
      </c>
      <c r="N28" s="27">
        <f t="shared" si="13"/>
        <v>0</v>
      </c>
      <c r="O28" s="27">
        <f t="shared" si="13"/>
        <v>52.906549742857145</v>
      </c>
      <c r="P28" s="27">
        <f t="shared" si="13"/>
        <v>74.634706673333326</v>
      </c>
      <c r="Q28" s="10">
        <f t="shared" si="8"/>
        <v>18.830577191894459</v>
      </c>
      <c r="R28" s="11" t="s">
        <v>42</v>
      </c>
      <c r="S28" s="9">
        <f t="shared" si="9"/>
        <v>18.830577191894459</v>
      </c>
      <c r="T28" s="9">
        <f t="shared" si="10"/>
        <v>56.491731575683374</v>
      </c>
      <c r="U28" s="9">
        <f t="shared" si="11"/>
        <v>0</v>
      </c>
    </row>
    <row r="29" spans="3:21" x14ac:dyDescent="0.3">
      <c r="C29" s="25" t="s">
        <v>30</v>
      </c>
      <c r="D29" s="26"/>
      <c r="E29" s="27">
        <f>E21</f>
        <v>20.82998811778404</v>
      </c>
      <c r="F29" s="27">
        <f t="shared" ref="F29:P30" si="14">F21</f>
        <v>17.395425696357734</v>
      </c>
      <c r="G29" s="27">
        <f t="shared" si="14"/>
        <v>15.995348461969847</v>
      </c>
      <c r="H29" s="27">
        <f t="shared" si="14"/>
        <v>13.93145629069363</v>
      </c>
      <c r="I29" s="27">
        <f t="shared" si="14"/>
        <v>11.982178357354481</v>
      </c>
      <c r="J29" s="27">
        <f t="shared" si="14"/>
        <v>10.811520082331221</v>
      </c>
      <c r="K29" s="27">
        <f t="shared" si="14"/>
        <v>7.3480291340000008</v>
      </c>
      <c r="L29" s="27">
        <f t="shared" si="14"/>
        <v>6.5574269357142869</v>
      </c>
      <c r="M29" s="27">
        <f t="shared" si="14"/>
        <v>7.987868212285715</v>
      </c>
      <c r="N29" s="27">
        <f t="shared" si="14"/>
        <v>19.548873202400003</v>
      </c>
      <c r="O29" s="27">
        <f t="shared" si="14"/>
        <v>25.395143876571428</v>
      </c>
      <c r="P29" s="27">
        <f t="shared" si="14"/>
        <v>22.390412001999998</v>
      </c>
      <c r="Q29" s="10">
        <f t="shared" si="8"/>
        <v>15.014472530788536</v>
      </c>
      <c r="R29" s="11" t="s">
        <v>36</v>
      </c>
      <c r="S29" s="9">
        <f t="shared" si="9"/>
        <v>15.014472530788536</v>
      </c>
      <c r="T29" s="9">
        <f t="shared" si="10"/>
        <v>21.502742423178297</v>
      </c>
      <c r="U29" s="9">
        <f t="shared" si="11"/>
        <v>8.1762110910828056</v>
      </c>
    </row>
    <row r="30" spans="3:21" x14ac:dyDescent="0.3">
      <c r="C30" s="25" t="s">
        <v>31</v>
      </c>
      <c r="D30" s="26"/>
      <c r="E30" s="28">
        <f>E22</f>
        <v>12.497992870670425</v>
      </c>
      <c r="F30" s="28">
        <f t="shared" si="14"/>
        <v>10.43725541781464</v>
      </c>
      <c r="G30" s="28">
        <f t="shared" si="14"/>
        <v>9.5972090771819065</v>
      </c>
      <c r="H30" s="28">
        <f t="shared" si="14"/>
        <v>8.3588737744161765</v>
      </c>
      <c r="I30" s="28">
        <f t="shared" si="14"/>
        <v>7.1893070144126883</v>
      </c>
      <c r="J30" s="28">
        <f t="shared" si="14"/>
        <v>6.4869120493987316</v>
      </c>
      <c r="K30" s="28">
        <f t="shared" si="14"/>
        <v>4.4088174804000007</v>
      </c>
      <c r="L30" s="28">
        <f t="shared" si="14"/>
        <v>3.9344561614285718</v>
      </c>
      <c r="M30" s="28">
        <f t="shared" si="14"/>
        <v>4.7927209273714286</v>
      </c>
      <c r="N30" s="28">
        <f t="shared" si="14"/>
        <v>11.729323921439999</v>
      </c>
      <c r="O30" s="28">
        <f t="shared" si="14"/>
        <v>15.237086325942856</v>
      </c>
      <c r="P30" s="28">
        <f t="shared" si="14"/>
        <v>13.434247201199998</v>
      </c>
      <c r="Q30" s="10">
        <f t="shared" si="8"/>
        <v>9.0086835184731182</v>
      </c>
      <c r="R30" s="11" t="s">
        <v>37</v>
      </c>
      <c r="S30" s="9">
        <f t="shared" si="9"/>
        <v>9.0086835184731182</v>
      </c>
      <c r="T30" s="9">
        <f t="shared" si="10"/>
        <v>12.90164545390698</v>
      </c>
      <c r="U30" s="9">
        <f t="shared" si="11"/>
        <v>4.9057266546496834</v>
      </c>
    </row>
    <row r="31" spans="3:21" x14ac:dyDescent="0.3">
      <c r="C31" s="25" t="s">
        <v>33</v>
      </c>
      <c r="D31" s="26"/>
      <c r="E31" s="28">
        <f>E8</f>
        <v>0</v>
      </c>
      <c r="F31" s="28">
        <f t="shared" ref="F31:P31" si="15">F8</f>
        <v>0</v>
      </c>
      <c r="G31" s="28">
        <f t="shared" si="15"/>
        <v>0</v>
      </c>
      <c r="H31" s="28">
        <f t="shared" si="15"/>
        <v>6.0571549089972301</v>
      </c>
      <c r="I31" s="28">
        <f t="shared" si="15"/>
        <v>10.572510315312776</v>
      </c>
      <c r="J31" s="28">
        <f t="shared" si="15"/>
        <v>0</v>
      </c>
      <c r="K31" s="28">
        <f t="shared" si="15"/>
        <v>0</v>
      </c>
      <c r="L31" s="28">
        <f t="shared" si="15"/>
        <v>0</v>
      </c>
      <c r="M31" s="28">
        <f t="shared" si="15"/>
        <v>0</v>
      </c>
      <c r="N31" s="28">
        <f t="shared" si="15"/>
        <v>8.4995100879999992</v>
      </c>
      <c r="O31" s="28">
        <f t="shared" si="15"/>
        <v>31.743929845714284</v>
      </c>
      <c r="P31" s="28">
        <f t="shared" si="15"/>
        <v>0</v>
      </c>
      <c r="Q31" s="10">
        <f t="shared" si="8"/>
        <v>4.7394254298353573</v>
      </c>
      <c r="R31" s="11" t="s">
        <v>38</v>
      </c>
      <c r="S31" s="9">
        <f t="shared" si="9"/>
        <v>4.7394254298353573</v>
      </c>
      <c r="T31" s="9">
        <f t="shared" si="10"/>
        <v>7.935982461428571</v>
      </c>
      <c r="U31" s="9">
        <f t="shared" si="11"/>
        <v>0</v>
      </c>
    </row>
    <row r="32" spans="3:21" x14ac:dyDescent="0.3">
      <c r="C32" s="25" t="s">
        <v>32</v>
      </c>
      <c r="D32" s="26"/>
      <c r="E32" s="28">
        <f>E23</f>
        <v>6.2489964353352061</v>
      </c>
      <c r="F32" s="28">
        <f t="shared" ref="F32:P32" si="16">F23</f>
        <v>5.2186277089073148</v>
      </c>
      <c r="G32" s="28">
        <f t="shared" si="16"/>
        <v>4.7986045385909488</v>
      </c>
      <c r="H32" s="28">
        <f t="shared" si="16"/>
        <v>4.1794368872080847</v>
      </c>
      <c r="I32" s="28">
        <f t="shared" si="16"/>
        <v>3.5946535072063406</v>
      </c>
      <c r="J32" s="28">
        <f t="shared" si="16"/>
        <v>3.2434560246993627</v>
      </c>
      <c r="K32" s="28">
        <f t="shared" si="16"/>
        <v>2.2044087401999981</v>
      </c>
      <c r="L32" s="28">
        <f t="shared" si="16"/>
        <v>1.9672280807142841</v>
      </c>
      <c r="M32" s="28">
        <f t="shared" si="16"/>
        <v>2.3963604636857121</v>
      </c>
      <c r="N32" s="28">
        <f t="shared" si="16"/>
        <v>5.8646619607199941</v>
      </c>
      <c r="O32" s="28">
        <f t="shared" si="16"/>
        <v>7.6185431629714211</v>
      </c>
      <c r="P32" s="28">
        <f t="shared" si="16"/>
        <v>6.7171236005999928</v>
      </c>
      <c r="Q32" s="10">
        <f t="shared" si="8"/>
        <v>4.5043417592365547</v>
      </c>
      <c r="R32" s="11" t="s">
        <v>39</v>
      </c>
      <c r="S32" s="9">
        <f t="shared" si="9"/>
        <v>4.5043417592365547</v>
      </c>
      <c r="T32" s="9">
        <f t="shared" si="10"/>
        <v>6.4508227269534837</v>
      </c>
      <c r="U32" s="9">
        <f t="shared" si="11"/>
        <v>2.452863327324839</v>
      </c>
    </row>
    <row r="34" spans="3:20" x14ac:dyDescent="0.3">
      <c r="C34" s="25" t="s">
        <v>33</v>
      </c>
      <c r="D34" s="26"/>
      <c r="E34" s="28">
        <f>E31</f>
        <v>0</v>
      </c>
      <c r="F34" s="28">
        <f t="shared" ref="F34:P34" si="17">F31</f>
        <v>0</v>
      </c>
      <c r="G34" s="28">
        <f t="shared" si="17"/>
        <v>0</v>
      </c>
      <c r="H34" s="28">
        <f t="shared" si="17"/>
        <v>6.0571549089972301</v>
      </c>
      <c r="I34" s="28">
        <f t="shared" si="17"/>
        <v>10.572510315312776</v>
      </c>
      <c r="J34" s="28">
        <f t="shared" si="17"/>
        <v>0</v>
      </c>
      <c r="K34" s="28">
        <f t="shared" si="17"/>
        <v>0</v>
      </c>
      <c r="L34" s="28">
        <f t="shared" si="17"/>
        <v>0</v>
      </c>
      <c r="M34" s="28">
        <f t="shared" si="17"/>
        <v>0</v>
      </c>
      <c r="N34" s="28">
        <f t="shared" si="17"/>
        <v>8.4995100879999992</v>
      </c>
      <c r="O34" s="28">
        <f t="shared" si="17"/>
        <v>31.743929845714284</v>
      </c>
      <c r="P34" s="28">
        <f t="shared" si="17"/>
        <v>0</v>
      </c>
      <c r="Q34" s="10">
        <f>AVERAGE(E34:P34)</f>
        <v>4.7394254298353573</v>
      </c>
      <c r="R34" s="11"/>
      <c r="S34" s="9"/>
      <c r="T34" s="9"/>
    </row>
    <row r="35" spans="3:20" x14ac:dyDescent="0.3">
      <c r="C35" s="25" t="s">
        <v>14</v>
      </c>
      <c r="D35" s="26"/>
      <c r="E35" s="28">
        <f>E28</f>
        <v>69.433293725946811</v>
      </c>
      <c r="F35" s="28">
        <f t="shared" ref="F35:P35" si="18">F28</f>
        <v>28.992376160596223</v>
      </c>
      <c r="G35" s="28">
        <f t="shared" si="18"/>
        <v>0</v>
      </c>
      <c r="H35" s="28">
        <f t="shared" si="18"/>
        <v>0</v>
      </c>
      <c r="I35" s="28">
        <f t="shared" si="18"/>
        <v>0</v>
      </c>
      <c r="J35" s="28">
        <f t="shared" si="18"/>
        <v>0</v>
      </c>
      <c r="K35" s="28">
        <f t="shared" si="18"/>
        <v>0</v>
      </c>
      <c r="L35" s="28">
        <f t="shared" si="18"/>
        <v>0</v>
      </c>
      <c r="M35" s="28">
        <f t="shared" si="18"/>
        <v>0</v>
      </c>
      <c r="N35" s="28">
        <f t="shared" si="18"/>
        <v>0</v>
      </c>
      <c r="O35" s="28">
        <f t="shared" si="18"/>
        <v>52.906549742857145</v>
      </c>
      <c r="P35" s="28">
        <f t="shared" si="18"/>
        <v>74.634706673333326</v>
      </c>
      <c r="Q35" s="10">
        <f>AVERAGE(E35:P35)</f>
        <v>18.830577191894459</v>
      </c>
      <c r="R35" s="11"/>
      <c r="S35" s="9"/>
      <c r="T35" s="9"/>
    </row>
    <row r="36" spans="3:20" x14ac:dyDescent="0.3">
      <c r="C36" s="25" t="s">
        <v>16</v>
      </c>
      <c r="D36" s="26"/>
      <c r="E36" s="28">
        <f>SUM(E25:E32)-SUM(E34:E35)</f>
        <v>104.1499405889202</v>
      </c>
      <c r="F36" s="28">
        <f t="shared" ref="F36:P36" si="19">SUM(F25:F32)-SUM(F34:F35)</f>
        <v>86.977128481788668</v>
      </c>
      <c r="G36" s="28">
        <f t="shared" si="19"/>
        <v>79.976742309849215</v>
      </c>
      <c r="H36" s="28">
        <f t="shared" si="19"/>
        <v>69.657281453468144</v>
      </c>
      <c r="I36" s="28">
        <f t="shared" si="19"/>
        <v>59.910891786772417</v>
      </c>
      <c r="J36" s="28">
        <f t="shared" si="19"/>
        <v>54.05760041165609</v>
      </c>
      <c r="K36" s="28">
        <f t="shared" si="19"/>
        <v>36.740145670000004</v>
      </c>
      <c r="L36" s="28">
        <f t="shared" si="19"/>
        <v>32.787134678571427</v>
      </c>
      <c r="M36" s="28">
        <f t="shared" si="19"/>
        <v>39.939341061428564</v>
      </c>
      <c r="N36" s="28">
        <f t="shared" si="19"/>
        <v>97.744366011999986</v>
      </c>
      <c r="O36" s="28">
        <f t="shared" si="19"/>
        <v>126.97571938285718</v>
      </c>
      <c r="P36" s="28">
        <f t="shared" si="19"/>
        <v>111.95206001000001</v>
      </c>
      <c r="Q36" s="10">
        <f>AVERAGE(E36:P36)</f>
        <v>75.072362653942662</v>
      </c>
      <c r="R36" s="11"/>
      <c r="S36" s="9"/>
      <c r="T36" s="9"/>
    </row>
  </sheetData>
  <pageMargins left="0.7" right="0.7" top="0.75" bottom="0.75" header="0.3" footer="0.3"/>
  <pageSetup orientation="portrait" verticalDpi="300" r:id="rId1"/>
  <ignoredErrors>
    <ignoredError sqref="E2:P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3493-4BC6-4EBD-AA0A-1362B7163A90}">
  <dimension ref="A2:P41"/>
  <sheetViews>
    <sheetView workbookViewId="0">
      <selection activeCell="J25" sqref="J25"/>
    </sheetView>
  </sheetViews>
  <sheetFormatPr defaultRowHeight="14.4" x14ac:dyDescent="0.3"/>
  <cols>
    <col min="3" max="3" width="10.33203125" customWidth="1"/>
    <col min="4" max="4" width="10.33203125" style="11" customWidth="1"/>
    <col min="5" max="6" width="10.33203125" customWidth="1"/>
    <col min="12" max="12" width="9" customWidth="1"/>
    <col min="14" max="14" width="9.5546875" bestFit="1" customWidth="1"/>
  </cols>
  <sheetData>
    <row r="2" spans="1:7" x14ac:dyDescent="0.3">
      <c r="B2" t="s">
        <v>79</v>
      </c>
      <c r="C2" s="61">
        <f>player2!B1</f>
        <v>2</v>
      </c>
      <c r="D2" t="s">
        <v>87</v>
      </c>
    </row>
    <row r="3" spans="1:7" x14ac:dyDescent="0.3">
      <c r="B3" t="s">
        <v>83</v>
      </c>
      <c r="C3" s="57">
        <f>MIN(C2*2,6)</f>
        <v>4</v>
      </c>
      <c r="D3" t="s">
        <v>88</v>
      </c>
    </row>
    <row r="4" spans="1:7" x14ac:dyDescent="0.3">
      <c r="B4" t="s">
        <v>82</v>
      </c>
      <c r="C4" s="57">
        <v>1</v>
      </c>
      <c r="D4"/>
      <c r="E4" s="11"/>
      <c r="F4" s="11"/>
    </row>
    <row r="5" spans="1:7" x14ac:dyDescent="0.3">
      <c r="C5" s="57"/>
      <c r="D5"/>
    </row>
    <row r="6" spans="1:7" x14ac:dyDescent="0.3">
      <c r="C6" s="11" t="s">
        <v>78</v>
      </c>
      <c r="D6" s="11" t="s">
        <v>84</v>
      </c>
      <c r="E6" s="11" t="s">
        <v>80</v>
      </c>
      <c r="F6" s="11" t="s">
        <v>81</v>
      </c>
      <c r="G6" s="11" t="s">
        <v>77</v>
      </c>
    </row>
    <row r="7" spans="1:7" x14ac:dyDescent="0.3">
      <c r="A7">
        <v>2025</v>
      </c>
      <c r="B7">
        <v>0</v>
      </c>
      <c r="C7" s="60">
        <f>IFERROR(B7/$C$2,0)</f>
        <v>0</v>
      </c>
      <c r="D7" s="60">
        <f t="shared" ref="D7:D22" si="0">(B7-$C$2)/(15-$C$2)</f>
        <v>-0.15384615384615385</v>
      </c>
      <c r="E7" s="60">
        <f t="shared" ref="E7:E22" si="1">IF(B7&lt;=$C$2,C7,D7)</f>
        <v>0</v>
      </c>
      <c r="F7" s="59">
        <f>3*E7^(2*$C$4)-2*E7^(3*$C$4)</f>
        <v>0</v>
      </c>
      <c r="G7" s="29">
        <f>(IF(B7&lt;=$C$2,$C$3*E7,$C$3+1+(100-$C$3)*F7))/100</f>
        <v>0</v>
      </c>
    </row>
    <row r="8" spans="1:7" x14ac:dyDescent="0.3">
      <c r="A8">
        <v>2026</v>
      </c>
      <c r="B8">
        <v>1</v>
      </c>
      <c r="C8" s="60">
        <f t="shared" ref="C8:C22" si="2">IFERROR(B8/$C$2,0)</f>
        <v>0.5</v>
      </c>
      <c r="D8" s="60">
        <f t="shared" si="0"/>
        <v>-7.6923076923076927E-2</v>
      </c>
      <c r="E8" s="60">
        <f t="shared" si="1"/>
        <v>0.5</v>
      </c>
      <c r="F8" s="59">
        <f t="shared" ref="F8:F22" si="3">3*E8^(2*$C$4)-2*E8^(3*$C$4)</f>
        <v>0.5</v>
      </c>
      <c r="G8" s="29">
        <f t="shared" ref="G8:G22" si="4">(IF(B8&lt;=$C$2,$C$3*E8,$C$3+1+(100-$C$3)*F8))/100</f>
        <v>0.02</v>
      </c>
    </row>
    <row r="9" spans="1:7" x14ac:dyDescent="0.3">
      <c r="A9">
        <v>2027</v>
      </c>
      <c r="B9">
        <v>2</v>
      </c>
      <c r="C9" s="60">
        <f t="shared" si="2"/>
        <v>1</v>
      </c>
      <c r="D9" s="60">
        <f t="shared" si="0"/>
        <v>0</v>
      </c>
      <c r="E9" s="60">
        <f t="shared" si="1"/>
        <v>1</v>
      </c>
      <c r="F9" s="59">
        <f t="shared" si="3"/>
        <v>1</v>
      </c>
      <c r="G9" s="29">
        <f>(IF(B9&lt;=$C$2,$C$3*E9,$C$3+1+(100-$C$3)*F9))/100</f>
        <v>0.04</v>
      </c>
    </row>
    <row r="10" spans="1:7" x14ac:dyDescent="0.3">
      <c r="A10">
        <v>2028</v>
      </c>
      <c r="B10">
        <v>3</v>
      </c>
      <c r="C10" s="60">
        <f t="shared" si="2"/>
        <v>1.5</v>
      </c>
      <c r="D10" s="60">
        <f t="shared" si="0"/>
        <v>7.6923076923076927E-2</v>
      </c>
      <c r="E10" s="60">
        <f t="shared" si="1"/>
        <v>7.6923076923076927E-2</v>
      </c>
      <c r="F10" s="59">
        <f t="shared" si="3"/>
        <v>1.6841147018661812E-2</v>
      </c>
      <c r="G10" s="29">
        <f t="shared" si="4"/>
        <v>6.6167501137915335E-2</v>
      </c>
    </row>
    <row r="11" spans="1:7" x14ac:dyDescent="0.3">
      <c r="A11">
        <v>2029</v>
      </c>
      <c r="B11">
        <v>4</v>
      </c>
      <c r="C11" s="60">
        <f t="shared" si="2"/>
        <v>2</v>
      </c>
      <c r="D11" s="60">
        <f t="shared" si="0"/>
        <v>0.15384615384615385</v>
      </c>
      <c r="E11" s="60">
        <f t="shared" si="1"/>
        <v>0.15384615384615385</v>
      </c>
      <c r="F11" s="59">
        <f t="shared" si="3"/>
        <v>6.3723258989531184E-2</v>
      </c>
      <c r="G11" s="29">
        <f t="shared" si="4"/>
        <v>0.11117432862994994</v>
      </c>
    </row>
    <row r="12" spans="1:7" x14ac:dyDescent="0.3">
      <c r="A12">
        <v>2030</v>
      </c>
      <c r="B12">
        <v>5</v>
      </c>
      <c r="C12" s="60">
        <f t="shared" si="2"/>
        <v>2.5</v>
      </c>
      <c r="D12" s="60">
        <f t="shared" si="0"/>
        <v>0.23076923076923078</v>
      </c>
      <c r="E12" s="60">
        <f t="shared" si="1"/>
        <v>0.23076923076923078</v>
      </c>
      <c r="F12" s="59">
        <f t="shared" si="3"/>
        <v>0.13518434228493403</v>
      </c>
      <c r="G12" s="29">
        <f t="shared" si="4"/>
        <v>0.17977696859353667</v>
      </c>
    </row>
    <row r="13" spans="1:7" x14ac:dyDescent="0.3">
      <c r="A13">
        <v>2031</v>
      </c>
      <c r="B13">
        <v>6</v>
      </c>
      <c r="C13" s="60">
        <f t="shared" si="2"/>
        <v>3</v>
      </c>
      <c r="D13" s="60">
        <f t="shared" si="0"/>
        <v>0.30769230769230771</v>
      </c>
      <c r="E13" s="60">
        <f t="shared" si="1"/>
        <v>0.30769230769230771</v>
      </c>
      <c r="F13" s="59">
        <f t="shared" si="3"/>
        <v>0.22576240327719618</v>
      </c>
      <c r="G13" s="29">
        <f t="shared" si="4"/>
        <v>0.26673190714610834</v>
      </c>
    </row>
    <row r="14" spans="1:7" x14ac:dyDescent="0.3">
      <c r="A14">
        <v>2032</v>
      </c>
      <c r="B14">
        <v>7</v>
      </c>
      <c r="C14" s="60">
        <f t="shared" si="2"/>
        <v>3.5</v>
      </c>
      <c r="D14" s="60">
        <f t="shared" si="0"/>
        <v>0.38461538461538464</v>
      </c>
      <c r="E14" s="60">
        <f t="shared" si="1"/>
        <v>0.38461538461538464</v>
      </c>
      <c r="F14" s="59">
        <f t="shared" si="3"/>
        <v>0.32999544833864364</v>
      </c>
      <c r="G14" s="29">
        <f t="shared" si="4"/>
        <v>0.36679563040509788</v>
      </c>
    </row>
    <row r="15" spans="1:7" x14ac:dyDescent="0.3">
      <c r="A15">
        <v>2033</v>
      </c>
      <c r="B15">
        <v>8</v>
      </c>
      <c r="C15" s="60">
        <f t="shared" si="2"/>
        <v>4</v>
      </c>
      <c r="D15" s="60">
        <f t="shared" si="0"/>
        <v>0.46153846153846156</v>
      </c>
      <c r="E15" s="60">
        <f t="shared" si="1"/>
        <v>0.46153846153846156</v>
      </c>
      <c r="F15" s="59">
        <f t="shared" si="3"/>
        <v>0.44242148384160229</v>
      </c>
      <c r="G15" s="29">
        <f t="shared" si="4"/>
        <v>0.47472462448793817</v>
      </c>
    </row>
    <row r="16" spans="1:7" x14ac:dyDescent="0.3">
      <c r="A16">
        <v>2034</v>
      </c>
      <c r="B16">
        <v>9</v>
      </c>
      <c r="C16" s="60">
        <f t="shared" si="2"/>
        <v>4.5</v>
      </c>
      <c r="D16" s="60">
        <f t="shared" si="0"/>
        <v>0.53846153846153844</v>
      </c>
      <c r="E16" s="60">
        <f t="shared" si="1"/>
        <v>0.53846153846153844</v>
      </c>
      <c r="F16" s="59">
        <f t="shared" si="3"/>
        <v>0.55757851615839793</v>
      </c>
      <c r="G16" s="29">
        <f t="shared" si="4"/>
        <v>0.58527537551206199</v>
      </c>
    </row>
    <row r="17" spans="1:16" x14ac:dyDescent="0.3">
      <c r="A17">
        <v>2035</v>
      </c>
      <c r="B17">
        <v>10</v>
      </c>
      <c r="C17" s="60">
        <f t="shared" si="2"/>
        <v>5</v>
      </c>
      <c r="D17" s="60">
        <f t="shared" si="0"/>
        <v>0.61538461538461542</v>
      </c>
      <c r="E17" s="60">
        <f t="shared" si="1"/>
        <v>0.61538461538461542</v>
      </c>
      <c r="F17" s="59">
        <f t="shared" si="3"/>
        <v>0.67000455166135642</v>
      </c>
      <c r="G17" s="29">
        <f t="shared" si="4"/>
        <v>0.69320436959490228</v>
      </c>
    </row>
    <row r="18" spans="1:16" x14ac:dyDescent="0.3">
      <c r="A18">
        <v>2036</v>
      </c>
      <c r="B18">
        <v>11</v>
      </c>
      <c r="C18" s="60">
        <f t="shared" si="2"/>
        <v>5.5</v>
      </c>
      <c r="D18" s="60">
        <f t="shared" si="0"/>
        <v>0.69230769230769229</v>
      </c>
      <c r="E18" s="60">
        <f t="shared" si="1"/>
        <v>0.69230769230769229</v>
      </c>
      <c r="F18" s="59">
        <f t="shared" si="3"/>
        <v>0.77423759672280368</v>
      </c>
      <c r="G18" s="29">
        <f t="shared" si="4"/>
        <v>0.79326809285389144</v>
      </c>
    </row>
    <row r="19" spans="1:16" x14ac:dyDescent="0.3">
      <c r="A19">
        <v>2037</v>
      </c>
      <c r="B19">
        <v>12</v>
      </c>
      <c r="C19" s="60">
        <f t="shared" si="2"/>
        <v>6</v>
      </c>
      <c r="D19" s="60">
        <f t="shared" si="0"/>
        <v>0.76923076923076927</v>
      </c>
      <c r="E19" s="60">
        <f t="shared" si="1"/>
        <v>0.76923076923076927</v>
      </c>
      <c r="F19" s="59">
        <f t="shared" si="3"/>
        <v>0.86481565771506608</v>
      </c>
      <c r="G19" s="29">
        <f t="shared" si="4"/>
        <v>0.88022303140646341</v>
      </c>
    </row>
    <row r="20" spans="1:16" x14ac:dyDescent="0.3">
      <c r="A20">
        <v>2038</v>
      </c>
      <c r="B20">
        <v>13</v>
      </c>
      <c r="C20" s="60">
        <f t="shared" si="2"/>
        <v>6.5</v>
      </c>
      <c r="D20" s="60">
        <f t="shared" si="0"/>
        <v>0.84615384615384615</v>
      </c>
      <c r="E20" s="60">
        <f t="shared" si="1"/>
        <v>0.84615384615384615</v>
      </c>
      <c r="F20" s="59">
        <f t="shared" si="3"/>
        <v>0.93627674101046887</v>
      </c>
      <c r="G20" s="29">
        <f t="shared" si="4"/>
        <v>0.94882567137005014</v>
      </c>
    </row>
    <row r="21" spans="1:16" x14ac:dyDescent="0.3">
      <c r="A21">
        <v>2039</v>
      </c>
      <c r="B21">
        <v>14</v>
      </c>
      <c r="C21" s="60">
        <f t="shared" si="2"/>
        <v>7</v>
      </c>
      <c r="D21" s="60">
        <f t="shared" si="0"/>
        <v>0.92307692307692313</v>
      </c>
      <c r="E21" s="60">
        <f t="shared" si="1"/>
        <v>0.92307692307692313</v>
      </c>
      <c r="F21" s="59">
        <f t="shared" si="3"/>
        <v>0.98315885298133843</v>
      </c>
      <c r="G21" s="29">
        <f t="shared" si="4"/>
        <v>0.99383249886208491</v>
      </c>
    </row>
    <row r="22" spans="1:16" x14ac:dyDescent="0.3">
      <c r="A22">
        <v>2040</v>
      </c>
      <c r="B22">
        <v>15</v>
      </c>
      <c r="C22" s="60">
        <f t="shared" si="2"/>
        <v>7.5</v>
      </c>
      <c r="D22" s="60">
        <f t="shared" si="0"/>
        <v>1</v>
      </c>
      <c r="E22" s="60">
        <f t="shared" si="1"/>
        <v>1</v>
      </c>
      <c r="F22" s="59">
        <f t="shared" si="3"/>
        <v>1</v>
      </c>
      <c r="G22" s="29">
        <f t="shared" si="4"/>
        <v>1.01</v>
      </c>
    </row>
    <row r="25" spans="1:16" x14ac:dyDescent="0.3">
      <c r="O25" s="11"/>
      <c r="P25" s="11"/>
    </row>
    <row r="26" spans="1:16" x14ac:dyDescent="0.3">
      <c r="P26" s="29"/>
    </row>
    <row r="27" spans="1:16" x14ac:dyDescent="0.3">
      <c r="P27" s="29"/>
    </row>
    <row r="28" spans="1:16" x14ac:dyDescent="0.3">
      <c r="P28" s="29"/>
    </row>
    <row r="29" spans="1:16" x14ac:dyDescent="0.3">
      <c r="P29" s="29"/>
    </row>
    <row r="30" spans="1:16" x14ac:dyDescent="0.3">
      <c r="P30" s="29"/>
    </row>
    <row r="31" spans="1:16" x14ac:dyDescent="0.3">
      <c r="P31" s="29"/>
    </row>
    <row r="32" spans="1:16" x14ac:dyDescent="0.3">
      <c r="P32" s="29"/>
    </row>
    <row r="33" spans="16:16" x14ac:dyDescent="0.3">
      <c r="P33" s="29"/>
    </row>
    <row r="34" spans="16:16" x14ac:dyDescent="0.3">
      <c r="P34" s="29"/>
    </row>
    <row r="35" spans="16:16" x14ac:dyDescent="0.3">
      <c r="P35" s="29"/>
    </row>
    <row r="36" spans="16:16" x14ac:dyDescent="0.3">
      <c r="P36" s="29"/>
    </row>
    <row r="37" spans="16:16" x14ac:dyDescent="0.3">
      <c r="P37" s="29"/>
    </row>
    <row r="38" spans="16:16" x14ac:dyDescent="0.3">
      <c r="P38" s="29"/>
    </row>
    <row r="39" spans="16:16" x14ac:dyDescent="0.3">
      <c r="P39" s="29"/>
    </row>
    <row r="40" spans="16:16" x14ac:dyDescent="0.3">
      <c r="P40" s="29"/>
    </row>
    <row r="41" spans="16:16" x14ac:dyDescent="0.3">
      <c r="P41" s="2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AF61-A747-4200-961E-F65D335F7D34}">
  <dimension ref="A1:R30"/>
  <sheetViews>
    <sheetView workbookViewId="0">
      <selection activeCell="C18" sqref="C18"/>
    </sheetView>
  </sheetViews>
  <sheetFormatPr defaultRowHeight="14.4" x14ac:dyDescent="0.3"/>
  <cols>
    <col min="1" max="1" width="21.21875" customWidth="1"/>
    <col min="2" max="2" width="6.88671875" customWidth="1"/>
    <col min="3" max="3" width="17.21875" customWidth="1"/>
    <col min="4" max="4" width="6.88671875" customWidth="1"/>
    <col min="5" max="10" width="7.44140625" customWidth="1"/>
    <col min="17" max="17" width="7" customWidth="1"/>
  </cols>
  <sheetData>
    <row r="1" spans="1:18" x14ac:dyDescent="0.3">
      <c r="B1">
        <v>7</v>
      </c>
    </row>
    <row r="3" spans="1:18" x14ac:dyDescent="0.3">
      <c r="R3" t="s">
        <v>60</v>
      </c>
    </row>
    <row r="4" spans="1:18" x14ac:dyDescent="0.3">
      <c r="E4" s="32" t="s">
        <v>0</v>
      </c>
      <c r="F4" s="32" t="s">
        <v>47</v>
      </c>
      <c r="G4" s="32" t="s">
        <v>47</v>
      </c>
      <c r="H4" s="32" t="s">
        <v>48</v>
      </c>
      <c r="I4" s="32" t="s">
        <v>47</v>
      </c>
      <c r="J4" s="32" t="s">
        <v>47</v>
      </c>
      <c r="K4" s="32" t="s">
        <v>65</v>
      </c>
    </row>
    <row r="5" spans="1:18" x14ac:dyDescent="0.3">
      <c r="E5" s="32">
        <v>2015</v>
      </c>
      <c r="F5" s="33">
        <v>125.3</v>
      </c>
      <c r="G5" s="32"/>
      <c r="H5" s="13">
        <v>40</v>
      </c>
      <c r="I5" s="34"/>
      <c r="J5" s="34"/>
      <c r="R5" t="s">
        <v>58</v>
      </c>
    </row>
    <row r="6" spans="1:18" x14ac:dyDescent="0.3">
      <c r="E6" s="32">
        <v>2016</v>
      </c>
      <c r="F6" s="33">
        <v>133.30000000000001</v>
      </c>
      <c r="G6" s="32"/>
      <c r="H6" s="13">
        <v>40</v>
      </c>
      <c r="I6" s="34"/>
      <c r="J6" s="34"/>
    </row>
    <row r="7" spans="1:18" x14ac:dyDescent="0.3">
      <c r="E7" s="32">
        <v>2017</v>
      </c>
      <c r="F7" s="33">
        <v>117.2</v>
      </c>
      <c r="G7" s="32"/>
      <c r="H7" s="13">
        <v>40</v>
      </c>
      <c r="I7" s="34"/>
      <c r="J7" s="34"/>
      <c r="R7" t="s">
        <v>59</v>
      </c>
    </row>
    <row r="8" spans="1:18" x14ac:dyDescent="0.3">
      <c r="E8" s="32">
        <v>2018</v>
      </c>
      <c r="F8" s="33">
        <v>120</v>
      </c>
      <c r="G8" s="34"/>
      <c r="H8" s="13">
        <v>40</v>
      </c>
      <c r="I8" s="34"/>
      <c r="J8" s="34"/>
    </row>
    <row r="9" spans="1:18" x14ac:dyDescent="0.3">
      <c r="E9" s="32">
        <v>2019</v>
      </c>
      <c r="F9" s="33">
        <v>105</v>
      </c>
      <c r="G9" s="34"/>
      <c r="H9" s="13">
        <v>40</v>
      </c>
      <c r="I9" s="34"/>
      <c r="J9" s="34"/>
      <c r="R9" t="s">
        <v>61</v>
      </c>
    </row>
    <row r="10" spans="1:18" x14ac:dyDescent="0.3">
      <c r="E10" s="32">
        <v>2020</v>
      </c>
      <c r="F10" s="33">
        <v>93</v>
      </c>
      <c r="G10" s="34"/>
      <c r="H10" s="13">
        <v>40</v>
      </c>
      <c r="I10" s="34"/>
      <c r="J10" s="34"/>
      <c r="R10" t="s">
        <v>62</v>
      </c>
    </row>
    <row r="11" spans="1:18" x14ac:dyDescent="0.3">
      <c r="E11" s="32">
        <v>2021</v>
      </c>
      <c r="F11" s="33">
        <v>106</v>
      </c>
      <c r="G11" s="34"/>
      <c r="H11" s="13">
        <v>40</v>
      </c>
      <c r="I11" s="34"/>
      <c r="J11" s="34"/>
    </row>
    <row r="12" spans="1:18" x14ac:dyDescent="0.3">
      <c r="A12" s="11" t="s">
        <v>85</v>
      </c>
      <c r="B12" s="58">
        <f>player2!$B$1</f>
        <v>2</v>
      </c>
      <c r="E12" s="32">
        <v>2022</v>
      </c>
      <c r="F12" s="33">
        <v>99.7</v>
      </c>
      <c r="G12" s="34"/>
      <c r="H12" s="13">
        <v>40</v>
      </c>
      <c r="I12" s="34"/>
      <c r="J12" s="34"/>
    </row>
    <row r="13" spans="1:18" x14ac:dyDescent="0.3">
      <c r="E13" s="32">
        <v>2023</v>
      </c>
      <c r="F13" s="33">
        <v>103.34622349999999</v>
      </c>
      <c r="G13" s="34"/>
      <c r="H13" s="13">
        <v>40</v>
      </c>
      <c r="I13" s="34"/>
      <c r="J13" s="34"/>
    </row>
    <row r="14" spans="1:18" x14ac:dyDescent="0.3">
      <c r="A14" s="11" t="s">
        <v>49</v>
      </c>
      <c r="E14" s="32">
        <v>2024</v>
      </c>
      <c r="F14" s="33">
        <v>101.563939</v>
      </c>
      <c r="G14" s="34"/>
      <c r="H14" s="13">
        <v>40</v>
      </c>
      <c r="I14" s="34"/>
      <c r="J14" s="34"/>
    </row>
    <row r="15" spans="1:18" x14ac:dyDescent="0.3">
      <c r="A15" s="11" t="s">
        <v>43</v>
      </c>
      <c r="B15" s="29">
        <f>C15/100</f>
        <v>0.55000000000000004</v>
      </c>
      <c r="C15">
        <v>55</v>
      </c>
      <c r="E15" s="32">
        <v>2025</v>
      </c>
      <c r="F15" s="33">
        <v>100</v>
      </c>
      <c r="G15" s="13">
        <v>100</v>
      </c>
      <c r="H15" s="13">
        <v>40</v>
      </c>
      <c r="I15" s="10">
        <v>101</v>
      </c>
      <c r="J15" s="10">
        <v>101</v>
      </c>
    </row>
    <row r="16" spans="1:18" x14ac:dyDescent="0.3">
      <c r="A16" s="11" t="s">
        <v>44</v>
      </c>
      <c r="B16" s="29">
        <f t="shared" ref="B16:B17" si="0">C16/100</f>
        <v>0.65</v>
      </c>
      <c r="C16">
        <v>65</v>
      </c>
      <c r="E16" s="31">
        <v>2026</v>
      </c>
      <c r="F16" s="34"/>
      <c r="G16" s="33">
        <f>$F$15-(pmsa!$Q$34*player1!$B$17*drops!$G8+pmsa!$Q$35*player1!$B$16*drops!$G8+pmsa!$Q$36*player1!$B$15*drops!$G8)</f>
        <v>98.853575700434632</v>
      </c>
      <c r="H16" s="13">
        <v>40</v>
      </c>
      <c r="I16" s="10">
        <v>99.665454852768178</v>
      </c>
      <c r="J16" s="10">
        <v>102.39430090009294</v>
      </c>
    </row>
    <row r="17" spans="1:10" x14ac:dyDescent="0.3">
      <c r="A17" s="11" t="s">
        <v>45</v>
      </c>
      <c r="B17" s="29">
        <f t="shared" si="0"/>
        <v>0.8</v>
      </c>
      <c r="C17">
        <v>80</v>
      </c>
      <c r="E17" s="31">
        <v>2027</v>
      </c>
      <c r="F17" s="34"/>
      <c r="G17" s="33">
        <f>$F$15-(pmsa!$Q$34*player1!$B$17*drops!$G9+pmsa!$Q$35*player1!$B$16*drops!$G9+pmsa!$Q$36*player1!$B$15*drops!$G9)</f>
        <v>97.707151400869279</v>
      </c>
      <c r="H17" s="13">
        <v>40</v>
      </c>
      <c r="I17" s="10">
        <v>98.330909705536357</v>
      </c>
      <c r="J17" s="10">
        <v>103.78860180018589</v>
      </c>
    </row>
    <row r="18" spans="1:10" x14ac:dyDescent="0.3">
      <c r="E18" s="31">
        <v>2028</v>
      </c>
      <c r="F18" s="34"/>
      <c r="G18" s="33">
        <f>$F$15-(pmsa!$Q$34*player1!$B$17*drops!$G10+pmsa!$Q$35*player1!$B$16*drops!$G10+pmsa!$Q$36*player1!$B$15*drops!$G10)</f>
        <v>96.207198442698754</v>
      </c>
      <c r="H18" s="13">
        <v>40</v>
      </c>
      <c r="I18" s="10">
        <v>96.996364558304535</v>
      </c>
      <c r="J18" s="10">
        <v>105.18290270027883</v>
      </c>
    </row>
    <row r="19" spans="1:10" x14ac:dyDescent="0.3">
      <c r="E19" s="31">
        <v>2029</v>
      </c>
      <c r="F19" s="34"/>
      <c r="G19" s="33">
        <f>$F$15-(pmsa!$Q$34*player1!$B$17*drops!$G11+pmsa!$Q$35*player1!$B$16*drops!$G11+pmsa!$Q$36*player1!$B$15*drops!$G11)</f>
        <v>93.627352408538002</v>
      </c>
      <c r="H19" s="13">
        <v>40</v>
      </c>
      <c r="I19" s="10">
        <v>95.661819411072713</v>
      </c>
      <c r="J19" s="10">
        <v>106.57720360037177</v>
      </c>
    </row>
    <row r="20" spans="1:10" x14ac:dyDescent="0.3">
      <c r="E20" s="31">
        <v>2030</v>
      </c>
      <c r="F20" s="34"/>
      <c r="G20" s="33">
        <f>$F$15-(pmsa!$Q$34*player1!$B$17*drops!$G12+pmsa!$Q$35*player1!$B$16*drops!$G12+pmsa!$Q$36*player1!$B$15*drops!$G12)</f>
        <v>89.694965735108525</v>
      </c>
      <c r="H20" s="13">
        <v>40</v>
      </c>
      <c r="I20" s="10">
        <v>94.327274263840891</v>
      </c>
      <c r="J20" s="10">
        <v>107.97150450046472</v>
      </c>
    </row>
    <row r="21" spans="1:10" x14ac:dyDescent="0.3">
      <c r="E21" s="31">
        <v>2031</v>
      </c>
      <c r="F21" s="34"/>
      <c r="G21" s="33">
        <f>$F$15-(pmsa!$Q$34*player1!$B$17*drops!$G13+pmsa!$Q$35*player1!$B$16*drops!$G13+pmsa!$Q$36*player1!$B$15*drops!$G13)</f>
        <v>84.710603008914461</v>
      </c>
      <c r="H21" s="13">
        <v>40</v>
      </c>
      <c r="I21" s="10">
        <v>92.99272911660907</v>
      </c>
      <c r="J21" s="10">
        <v>109.36580540055766</v>
      </c>
    </row>
    <row r="22" spans="1:10" x14ac:dyDescent="0.3">
      <c r="E22" s="31">
        <v>2032</v>
      </c>
      <c r="F22" s="34"/>
      <c r="G22" s="33">
        <f>$F$15-(pmsa!$Q$34*player1!$B$17*drops!$G14+pmsa!$Q$35*player1!$B$16*drops!$G14+pmsa!$Q$36*player1!$B$15*drops!$G14)</f>
        <v>78.97482881645999</v>
      </c>
      <c r="H22" s="13">
        <v>40</v>
      </c>
      <c r="I22" s="10">
        <v>91.658183969377248</v>
      </c>
      <c r="J22" s="10">
        <v>110.76010630065061</v>
      </c>
    </row>
    <row r="23" spans="1:10" x14ac:dyDescent="0.3">
      <c r="E23" s="31">
        <v>2033</v>
      </c>
      <c r="F23" s="34"/>
      <c r="G23" s="33">
        <f>$F$15-(pmsa!$Q$34*player1!$B$17*drops!$G15+pmsa!$Q$35*player1!$B$16*drops!$G15+pmsa!$Q$36*player1!$B$15*drops!$G15)</f>
        <v>72.788207744249277</v>
      </c>
      <c r="H23" s="13">
        <v>40</v>
      </c>
      <c r="I23" s="10">
        <v>90.323638822145426</v>
      </c>
      <c r="J23" s="10">
        <v>112.15440720074355</v>
      </c>
    </row>
    <row r="24" spans="1:10" x14ac:dyDescent="0.3">
      <c r="E24" s="31">
        <v>2034</v>
      </c>
      <c r="F24" s="34"/>
      <c r="G24" s="33">
        <f>$F$15-(pmsa!$Q$34*player1!$B$17*drops!$G16+pmsa!$Q$35*player1!$B$16*drops!$G16+pmsa!$Q$36*player1!$B$15*drops!$G16)</f>
        <v>66.451304378786475</v>
      </c>
      <c r="H24" s="13">
        <v>40</v>
      </c>
      <c r="I24" s="10">
        <v>88.989093674913605</v>
      </c>
      <c r="J24" s="10">
        <v>113.54870810083649</v>
      </c>
    </row>
    <row r="25" spans="1:10" x14ac:dyDescent="0.3">
      <c r="E25" s="31">
        <v>2035</v>
      </c>
      <c r="F25" s="34"/>
      <c r="G25" s="33">
        <f>$F$15-(pmsa!$Q$34*player1!$B$17*drops!$G17+pmsa!$Q$35*player1!$B$16*drops!$G17+pmsa!$Q$36*player1!$B$15*drops!$G17)</f>
        <v>60.264683306575755</v>
      </c>
      <c r="H25" s="13">
        <v>40</v>
      </c>
      <c r="I25" s="10">
        <v>87.654548527681783</v>
      </c>
      <c r="J25" s="10">
        <v>114.94300900092944</v>
      </c>
    </row>
    <row r="26" spans="1:10" x14ac:dyDescent="0.3">
      <c r="E26" s="31">
        <v>2036</v>
      </c>
      <c r="F26" s="34"/>
      <c r="G26" s="33">
        <f>$F$15-(pmsa!$Q$34*player1!$B$17*drops!$G18+pmsa!$Q$35*player1!$B$16*drops!$G18+pmsa!$Q$36*player1!$B$15*drops!$G18)</f>
        <v>54.528909114121305</v>
      </c>
      <c r="H26" s="13">
        <v>40</v>
      </c>
      <c r="I26" s="10">
        <v>86.320003380449961</v>
      </c>
      <c r="J26" s="10">
        <v>116.33730990102238</v>
      </c>
    </row>
    <row r="27" spans="1:10" x14ac:dyDescent="0.3">
      <c r="E27" s="31">
        <v>2037</v>
      </c>
      <c r="F27" s="34"/>
      <c r="G27" s="33">
        <f>$F$15-(pmsa!$Q$34*player1!$B$17*drops!$G19+pmsa!$Q$35*player1!$B$16*drops!$G19+pmsa!$Q$36*player1!$B$15*drops!$G19)</f>
        <v>49.544546387927234</v>
      </c>
      <c r="H27" s="13">
        <v>40</v>
      </c>
      <c r="I27" s="10">
        <v>84.985458233218139</v>
      </c>
      <c r="J27" s="10">
        <v>117.73161080111532</v>
      </c>
    </row>
    <row r="28" spans="1:10" x14ac:dyDescent="0.3">
      <c r="E28" s="31">
        <v>2038</v>
      </c>
      <c r="F28" s="34"/>
      <c r="G28" s="33">
        <f>$F$15-(pmsa!$Q$34*player1!$B$17*drops!$G20+pmsa!$Q$35*player1!$B$16*drops!$G20+pmsa!$Q$36*player1!$B$15*drops!$G20)</f>
        <v>45.61215971449775</v>
      </c>
      <c r="H28" s="13">
        <v>40</v>
      </c>
      <c r="I28" s="10">
        <v>83.650913085986318</v>
      </c>
      <c r="J28" s="10">
        <v>119.12591170120827</v>
      </c>
    </row>
    <row r="29" spans="1:10" x14ac:dyDescent="0.3">
      <c r="E29" s="31">
        <v>2039</v>
      </c>
      <c r="F29" s="34"/>
      <c r="G29" s="33">
        <f>$F$15-(pmsa!$Q$34*player1!$B$17*drops!$G21+pmsa!$Q$35*player1!$B$16*drops!$G21+pmsa!$Q$36*player1!$B$15*drops!$G21)</f>
        <v>43.032313680336998</v>
      </c>
      <c r="H29" s="13">
        <v>40</v>
      </c>
      <c r="I29" s="10">
        <v>82.316367938754496</v>
      </c>
      <c r="J29" s="10">
        <v>120.52021260130121</v>
      </c>
    </row>
    <row r="30" spans="1:10" x14ac:dyDescent="0.3">
      <c r="E30" s="31">
        <v>2040</v>
      </c>
      <c r="F30" s="34"/>
      <c r="G30" s="33">
        <f>$F$15-(pmsa!$Q$34*player1!$B$17*drops!$G22+pmsa!$Q$35*player1!$B$16*drops!$G22+pmsa!$Q$36*player1!$B$15*drops!$G22)</f>
        <v>42.105572871949171</v>
      </c>
      <c r="H30" s="13">
        <v>40</v>
      </c>
      <c r="I30" s="10">
        <v>80.981822791522674</v>
      </c>
      <c r="J30" s="10">
        <v>121.91451350139415</v>
      </c>
    </row>
  </sheetData>
  <pageMargins left="0.7" right="0.7" top="0.75" bottom="0.75" header="0.3" footer="0.3"/>
  <pageSetup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Scroll Bar 1">
              <controlPr defaultSize="0" autoPict="0">
                <anchor moveWithCells="1">
                  <from>
                    <xdr:col>2</xdr:col>
                    <xdr:colOff>7620</xdr:colOff>
                    <xdr:row>13</xdr:row>
                    <xdr:rowOff>160020</xdr:rowOff>
                  </from>
                  <to>
                    <xdr:col>2</xdr:col>
                    <xdr:colOff>1165860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Scroll Bar 2">
              <controlPr defaultSize="0" autoPict="0">
                <anchor moveWithCells="1">
                  <from>
                    <xdr:col>2</xdr:col>
                    <xdr:colOff>7620</xdr:colOff>
                    <xdr:row>14</xdr:row>
                    <xdr:rowOff>160020</xdr:rowOff>
                  </from>
                  <to>
                    <xdr:col>2</xdr:col>
                    <xdr:colOff>1165860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Scroll Bar 3">
              <controlPr defaultSize="0" autoPict="0">
                <anchor moveWithCells="1">
                  <from>
                    <xdr:col>2</xdr:col>
                    <xdr:colOff>15240</xdr:colOff>
                    <xdr:row>15</xdr:row>
                    <xdr:rowOff>152400</xdr:rowOff>
                  </from>
                  <to>
                    <xdr:col>2</xdr:col>
                    <xdr:colOff>1173480</xdr:colOff>
                    <xdr:row>16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Scroll Bar 5">
              <controlPr defaultSiz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2</xdr:col>
                    <xdr:colOff>1158240</xdr:colOff>
                    <xdr:row>12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6B06C-B713-4182-BE81-41D840DCF017}">
  <dimension ref="A1:AL47"/>
  <sheetViews>
    <sheetView tabSelected="1" workbookViewId="0">
      <selection activeCell="E8" sqref="E8"/>
    </sheetView>
  </sheetViews>
  <sheetFormatPr defaultRowHeight="14.4" x14ac:dyDescent="0.3"/>
  <cols>
    <col min="1" max="1" width="21.21875" customWidth="1"/>
    <col min="2" max="2" width="6.88671875" customWidth="1"/>
    <col min="3" max="3" width="17.21875" customWidth="1"/>
    <col min="4" max="4" width="6.88671875" customWidth="1"/>
    <col min="5" max="10" width="7.44140625" customWidth="1"/>
    <col min="21" max="24" width="7" customWidth="1"/>
    <col min="34" max="34" width="24.21875" bestFit="1" customWidth="1"/>
    <col min="35" max="35" width="9" customWidth="1"/>
    <col min="38" max="38" width="8.88671875" style="12"/>
  </cols>
  <sheetData>
    <row r="1" spans="1:38" x14ac:dyDescent="0.3">
      <c r="A1" s="11" t="s">
        <v>85</v>
      </c>
      <c r="B1" s="58">
        <f>C1/10</f>
        <v>2</v>
      </c>
      <c r="C1">
        <v>20</v>
      </c>
      <c r="D1" s="12" t="s">
        <v>86</v>
      </c>
    </row>
    <row r="2" spans="1:38" x14ac:dyDescent="0.3">
      <c r="A2" s="11" t="s">
        <v>49</v>
      </c>
      <c r="D2" s="12"/>
    </row>
    <row r="3" spans="1:38" x14ac:dyDescent="0.3">
      <c r="A3" s="11" t="s">
        <v>71</v>
      </c>
      <c r="B3" s="29">
        <f>C3/100</f>
        <v>0.55000000000000004</v>
      </c>
      <c r="C3">
        <v>55</v>
      </c>
      <c r="D3" s="12"/>
      <c r="Y3" t="s">
        <v>60</v>
      </c>
    </row>
    <row r="4" spans="1:38" x14ac:dyDescent="0.3">
      <c r="A4" s="11" t="s">
        <v>67</v>
      </c>
      <c r="B4" s="29">
        <f t="shared" ref="B4:B10" si="0">C4/100</f>
        <v>0.55000000000000004</v>
      </c>
      <c r="C4">
        <v>55</v>
      </c>
      <c r="D4" s="12"/>
      <c r="AJ4" t="s">
        <v>73</v>
      </c>
      <c r="AK4" t="s">
        <v>74</v>
      </c>
      <c r="AL4" s="12" t="s">
        <v>75</v>
      </c>
    </row>
    <row r="5" spans="1:38" x14ac:dyDescent="0.3">
      <c r="A5" s="11" t="s">
        <v>66</v>
      </c>
      <c r="B5" s="29">
        <f t="shared" si="0"/>
        <v>0.55000000000000004</v>
      </c>
      <c r="C5">
        <v>55</v>
      </c>
      <c r="D5" s="12"/>
      <c r="Y5" t="s">
        <v>58</v>
      </c>
      <c r="AH5" s="25" t="s">
        <v>26</v>
      </c>
      <c r="AI5" s="25" t="s">
        <v>35</v>
      </c>
      <c r="AJ5" s="51">
        <f>pmsa!Q25</f>
        <v>26.275326928879924</v>
      </c>
      <c r="AK5" s="51">
        <f>AJ5*(1-B3)</f>
        <v>11.823897117995964</v>
      </c>
      <c r="AL5" s="12">
        <v>1</v>
      </c>
    </row>
    <row r="6" spans="1:38" x14ac:dyDescent="0.3">
      <c r="A6" s="11" t="s">
        <v>44</v>
      </c>
      <c r="B6" s="29">
        <f t="shared" si="0"/>
        <v>0.55000000000000004</v>
      </c>
      <c r="C6">
        <v>55</v>
      </c>
      <c r="D6" s="12"/>
      <c r="AH6" s="25" t="s">
        <v>27</v>
      </c>
      <c r="AI6" s="25" t="s">
        <v>34</v>
      </c>
      <c r="AJ6" s="51">
        <f>pmsa!Q26</f>
        <v>9.0086835184731182</v>
      </c>
      <c r="AK6" s="51">
        <f t="shared" ref="AK6:AK12" si="1">AJ6*(1-B4)</f>
        <v>4.0539075833129026</v>
      </c>
      <c r="AL6" s="12">
        <v>1</v>
      </c>
    </row>
    <row r="7" spans="1:38" x14ac:dyDescent="0.3">
      <c r="A7" s="11" t="s">
        <v>68</v>
      </c>
      <c r="B7" s="29">
        <f t="shared" si="0"/>
        <v>0.55000000000000004</v>
      </c>
      <c r="C7">
        <v>55</v>
      </c>
      <c r="D7" s="12"/>
      <c r="Y7" t="s">
        <v>59</v>
      </c>
      <c r="AH7" s="25" t="s">
        <v>28</v>
      </c>
      <c r="AI7" s="25" t="s">
        <v>41</v>
      </c>
      <c r="AJ7" s="51">
        <f>pmsa!Q27</f>
        <v>11.260854398091398</v>
      </c>
      <c r="AK7" s="51">
        <f t="shared" si="1"/>
        <v>5.0673844791411291</v>
      </c>
      <c r="AL7" s="12">
        <v>2</v>
      </c>
    </row>
    <row r="8" spans="1:38" x14ac:dyDescent="0.3">
      <c r="A8" s="11" t="s">
        <v>69</v>
      </c>
      <c r="B8" s="29">
        <f t="shared" si="0"/>
        <v>1</v>
      </c>
      <c r="C8">
        <v>100</v>
      </c>
      <c r="D8" s="12"/>
      <c r="AH8" s="25" t="s">
        <v>14</v>
      </c>
      <c r="AI8" s="25" t="s">
        <v>42</v>
      </c>
      <c r="AJ8" s="51">
        <f>pmsa!Q28</f>
        <v>18.830577191894459</v>
      </c>
      <c r="AK8" s="51">
        <f t="shared" si="1"/>
        <v>8.4737597363525055</v>
      </c>
      <c r="AL8" s="12">
        <v>3</v>
      </c>
    </row>
    <row r="9" spans="1:38" x14ac:dyDescent="0.3">
      <c r="A9" s="11" t="s">
        <v>45</v>
      </c>
      <c r="B9" s="29">
        <f t="shared" si="0"/>
        <v>1</v>
      </c>
      <c r="C9">
        <v>100</v>
      </c>
      <c r="D9" s="12"/>
      <c r="Y9" t="s">
        <v>61</v>
      </c>
      <c r="AH9" s="25" t="s">
        <v>30</v>
      </c>
      <c r="AI9" s="25" t="s">
        <v>36</v>
      </c>
      <c r="AJ9" s="51">
        <f>pmsa!Q29</f>
        <v>15.014472530788536</v>
      </c>
      <c r="AK9" s="51">
        <f t="shared" si="1"/>
        <v>6.7565126388548409</v>
      </c>
      <c r="AL9" s="12">
        <v>2</v>
      </c>
    </row>
    <row r="10" spans="1:38" x14ac:dyDescent="0.3">
      <c r="A10" s="11" t="s">
        <v>70</v>
      </c>
      <c r="B10" s="29">
        <f t="shared" si="0"/>
        <v>0.55000000000000004</v>
      </c>
      <c r="C10">
        <v>55</v>
      </c>
      <c r="D10" s="12"/>
      <c r="Y10" t="s">
        <v>62</v>
      </c>
      <c r="AH10" s="25" t="s">
        <v>31</v>
      </c>
      <c r="AI10" s="25" t="s">
        <v>37</v>
      </c>
      <c r="AJ10" s="51">
        <f>pmsa!Q30</f>
        <v>9.0086835184731182</v>
      </c>
      <c r="AK10" s="51">
        <f t="shared" si="1"/>
        <v>0</v>
      </c>
      <c r="AL10" s="12">
        <v>1</v>
      </c>
    </row>
    <row r="11" spans="1:38" x14ac:dyDescent="0.3">
      <c r="AH11" s="25" t="s">
        <v>33</v>
      </c>
      <c r="AI11" s="25" t="s">
        <v>38</v>
      </c>
      <c r="AJ11" s="51">
        <f>pmsa!Q31</f>
        <v>4.7394254298353573</v>
      </c>
      <c r="AK11" s="51">
        <f t="shared" si="1"/>
        <v>0</v>
      </c>
      <c r="AL11" s="12">
        <v>3</v>
      </c>
    </row>
    <row r="12" spans="1:38" x14ac:dyDescent="0.3">
      <c r="Y12" s="32" t="s">
        <v>0</v>
      </c>
      <c r="Z12" s="32" t="s">
        <v>47</v>
      </c>
      <c r="AA12" s="32" t="s">
        <v>47</v>
      </c>
      <c r="AB12" s="32" t="s">
        <v>48</v>
      </c>
      <c r="AC12" s="32" t="s">
        <v>47</v>
      </c>
      <c r="AD12" s="32" t="s">
        <v>47</v>
      </c>
      <c r="AE12" s="32" t="s">
        <v>65</v>
      </c>
      <c r="AH12" s="25" t="s">
        <v>32</v>
      </c>
      <c r="AI12" s="25" t="s">
        <v>72</v>
      </c>
      <c r="AJ12" s="51">
        <f>pmsa!Q32</f>
        <v>4.5043417592365547</v>
      </c>
      <c r="AK12" s="51">
        <f t="shared" si="1"/>
        <v>2.0269537916564495</v>
      </c>
      <c r="AL12" s="12">
        <v>3</v>
      </c>
    </row>
    <row r="13" spans="1:38" x14ac:dyDescent="0.3">
      <c r="Y13" s="32">
        <v>2015</v>
      </c>
      <c r="Z13" s="33">
        <v>125.3</v>
      </c>
      <c r="AA13" s="32"/>
      <c r="AB13" s="13">
        <v>40</v>
      </c>
      <c r="AC13" s="34"/>
      <c r="AD13" s="34"/>
      <c r="AE13" s="13"/>
      <c r="AJ13" s="50">
        <f>SUM(AJ5:AJ12)</f>
        <v>98.642365275672461</v>
      </c>
      <c r="AK13" s="50">
        <f>SUM(AK5:AK12)</f>
        <v>38.202415347313789</v>
      </c>
    </row>
    <row r="14" spans="1:38" x14ac:dyDescent="0.3">
      <c r="Y14" s="32">
        <v>2016</v>
      </c>
      <c r="Z14" s="33">
        <v>133.30000000000001</v>
      </c>
      <c r="AA14" s="32"/>
      <c r="AB14" s="13">
        <v>40</v>
      </c>
      <c r="AC14" s="34"/>
      <c r="AD14" s="34"/>
      <c r="AE14" s="13"/>
    </row>
    <row r="15" spans="1:38" x14ac:dyDescent="0.3">
      <c r="Y15" s="32">
        <v>2017</v>
      </c>
      <c r="Z15" s="33">
        <v>117.2</v>
      </c>
      <c r="AA15" s="32"/>
      <c r="AB15" s="13">
        <v>40</v>
      </c>
      <c r="AC15" s="34"/>
      <c r="AD15" s="34"/>
      <c r="AE15" s="13"/>
    </row>
    <row r="16" spans="1:38" x14ac:dyDescent="0.3">
      <c r="Y16" s="32">
        <v>2018</v>
      </c>
      <c r="Z16" s="33">
        <v>120</v>
      </c>
      <c r="AA16" s="34"/>
      <c r="AB16" s="13">
        <v>40</v>
      </c>
      <c r="AC16" s="34"/>
      <c r="AD16" s="34"/>
      <c r="AE16" s="13"/>
    </row>
    <row r="17" spans="10:31" x14ac:dyDescent="0.3">
      <c r="Y17" s="32">
        <v>2019</v>
      </c>
      <c r="Z17" s="33">
        <v>105</v>
      </c>
      <c r="AA17" s="34"/>
      <c r="AB17" s="13">
        <v>40</v>
      </c>
      <c r="AC17" s="34"/>
      <c r="AD17" s="34"/>
      <c r="AE17" s="13">
        <v>100</v>
      </c>
    </row>
    <row r="18" spans="10:31" x14ac:dyDescent="0.3">
      <c r="Y18" s="32">
        <v>2020</v>
      </c>
      <c r="Z18" s="33">
        <v>93</v>
      </c>
      <c r="AA18" s="34"/>
      <c r="AB18" s="13">
        <v>40</v>
      </c>
      <c r="AC18" s="34"/>
      <c r="AD18" s="34"/>
      <c r="AE18" s="13">
        <v>100</v>
      </c>
    </row>
    <row r="19" spans="10:31" x14ac:dyDescent="0.3">
      <c r="Y19" s="32">
        <v>2021</v>
      </c>
      <c r="Z19" s="33">
        <v>106</v>
      </c>
      <c r="AA19" s="34"/>
      <c r="AB19" s="13">
        <v>40</v>
      </c>
      <c r="AC19" s="34"/>
      <c r="AD19" s="34"/>
      <c r="AE19" s="13">
        <v>100</v>
      </c>
    </row>
    <row r="20" spans="10:31" x14ac:dyDescent="0.3">
      <c r="Y20" s="32">
        <v>2022</v>
      </c>
      <c r="Z20" s="33">
        <v>99.7</v>
      </c>
      <c r="AA20" s="34"/>
      <c r="AB20" s="13">
        <v>40</v>
      </c>
      <c r="AC20" s="34"/>
      <c r="AD20" s="34"/>
      <c r="AE20" s="13">
        <v>100</v>
      </c>
    </row>
    <row r="21" spans="10:31" x14ac:dyDescent="0.3">
      <c r="Y21" s="32">
        <v>2023</v>
      </c>
      <c r="Z21" s="33">
        <v>103.34622349999999</v>
      </c>
      <c r="AA21" s="34"/>
      <c r="AB21" s="13">
        <v>40</v>
      </c>
      <c r="AC21" s="34"/>
      <c r="AD21" s="34"/>
      <c r="AE21" s="13">
        <v>100</v>
      </c>
    </row>
    <row r="22" spans="10:31" x14ac:dyDescent="0.3">
      <c r="Y22" s="32">
        <v>2024</v>
      </c>
      <c r="Z22" s="33">
        <v>101.563939</v>
      </c>
      <c r="AA22" s="34"/>
      <c r="AB22" s="13">
        <v>40</v>
      </c>
      <c r="AC22" s="34"/>
      <c r="AD22" s="34"/>
      <c r="AE22" s="13">
        <v>100</v>
      </c>
    </row>
    <row r="23" spans="10:31" x14ac:dyDescent="0.3">
      <c r="Y23" s="32">
        <v>2025</v>
      </c>
      <c r="Z23" s="33">
        <v>100</v>
      </c>
      <c r="AA23" s="13">
        <v>100</v>
      </c>
      <c r="AB23" s="13">
        <v>40</v>
      </c>
      <c r="AC23" s="10">
        <v>100</v>
      </c>
      <c r="AD23" s="10">
        <v>100</v>
      </c>
      <c r="AE23" s="13">
        <v>100</v>
      </c>
    </row>
    <row r="24" spans="10:31" x14ac:dyDescent="0.3">
      <c r="Y24" s="31">
        <v>2026</v>
      </c>
      <c r="Z24" s="34"/>
      <c r="AA24" s="33">
        <f>$AA$23-SUMPRODUCT($AJ$5:$AJ$12,$B$3:$B$10)*drops!G7</f>
        <v>100</v>
      </c>
      <c r="AB24" s="13">
        <v>40</v>
      </c>
      <c r="AC24" s="10">
        <v>99</v>
      </c>
      <c r="AD24" s="10">
        <v>102.39430090009294</v>
      </c>
      <c r="AE24" s="13">
        <v>100</v>
      </c>
    </row>
    <row r="25" spans="10:31" x14ac:dyDescent="0.3">
      <c r="Y25" s="31">
        <v>2027</v>
      </c>
      <c r="Z25" s="34"/>
      <c r="AA25" s="33">
        <f>$AA$23-SUMPRODUCT($AJ$5:$AJ$12,$B$3:$B$10)*drops!G8</f>
        <v>98.791201001432825</v>
      </c>
      <c r="AB25" s="13">
        <v>40</v>
      </c>
      <c r="AC25" s="10">
        <v>98.330909705536357</v>
      </c>
      <c r="AD25" s="10">
        <v>103.78860180018589</v>
      </c>
      <c r="AE25" s="13">
        <v>100</v>
      </c>
    </row>
    <row r="26" spans="10:31" x14ac:dyDescent="0.3">
      <c r="Y26" s="31">
        <v>2028</v>
      </c>
      <c r="Z26" s="34"/>
      <c r="AA26" s="33">
        <f>$AA$23-SUMPRODUCT($AJ$5:$AJ$12,$B$3:$B$10)*drops!G9</f>
        <v>97.582402002865649</v>
      </c>
      <c r="AB26" s="13">
        <v>40</v>
      </c>
      <c r="AC26" s="10">
        <v>96.996364558304535</v>
      </c>
      <c r="AD26" s="10">
        <v>105.18290270027883</v>
      </c>
      <c r="AE26" s="13">
        <v>100</v>
      </c>
    </row>
    <row r="27" spans="10:31" x14ac:dyDescent="0.3">
      <c r="Y27" s="31">
        <v>2029</v>
      </c>
      <c r="Z27" s="34"/>
      <c r="AA27" s="33">
        <f>$AA$23-SUMPRODUCT($AJ$5:$AJ$12,$B$3:$B$10)*drops!G10</f>
        <v>96.000839544339783</v>
      </c>
      <c r="AB27" s="13">
        <v>40</v>
      </c>
      <c r="AC27" s="10">
        <v>95.661819411072713</v>
      </c>
      <c r="AD27" s="10">
        <v>106.57720360037177</v>
      </c>
      <c r="AE27" s="13">
        <v>100</v>
      </c>
    </row>
    <row r="28" spans="10:31" x14ac:dyDescent="0.3">
      <c r="Y28" s="31">
        <v>2030</v>
      </c>
      <c r="Z28" s="34"/>
      <c r="AA28" s="33">
        <f>$AA$23-SUMPRODUCT($AJ$5:$AJ$12,$B$3:$B$10)*drops!G11</f>
        <v>93.280629144286934</v>
      </c>
      <c r="AB28" s="13">
        <v>40</v>
      </c>
      <c r="AC28" s="10">
        <v>94.327274263840891</v>
      </c>
      <c r="AD28" s="10">
        <v>107.97150450046472</v>
      </c>
      <c r="AE28" s="13">
        <v>100</v>
      </c>
    </row>
    <row r="29" spans="10:31" x14ac:dyDescent="0.3">
      <c r="Y29" s="31">
        <v>2031</v>
      </c>
      <c r="Z29" s="34"/>
      <c r="AA29" s="33">
        <f>$AA$23-SUMPRODUCT($AJ$5:$AJ$12,$B$3:$B$10)*drops!G12</f>
        <v>89.134289019934528</v>
      </c>
      <c r="AB29" s="13">
        <v>40</v>
      </c>
      <c r="AC29" s="10">
        <v>92.99272911660907</v>
      </c>
      <c r="AD29" s="10">
        <v>109.36580540055766</v>
      </c>
      <c r="AE29" s="13">
        <v>100</v>
      </c>
    </row>
    <row r="30" spans="10:31" x14ac:dyDescent="0.3">
      <c r="J30" t="s">
        <v>89</v>
      </c>
      <c r="L30" s="62">
        <f>(Z40-AA40)/Z40</f>
        <v>0.17637476297275581</v>
      </c>
      <c r="Y30" s="31">
        <v>2032</v>
      </c>
      <c r="Z30" s="34"/>
      <c r="AA30" s="33">
        <f>$AA$23-SUMPRODUCT($AJ$5:$AJ$12,$B$3:$B$10)*drops!G13</f>
        <v>83.878736887793593</v>
      </c>
      <c r="AB30" s="13">
        <v>40</v>
      </c>
      <c r="AC30" s="10">
        <v>91.658183969377248</v>
      </c>
      <c r="AD30" s="10">
        <v>110.76010630065061</v>
      </c>
      <c r="AE30" s="13">
        <v>100</v>
      </c>
    </row>
    <row r="31" spans="10:31" x14ac:dyDescent="0.3">
      <c r="Y31" s="31">
        <v>2033</v>
      </c>
      <c r="Z31" s="34"/>
      <c r="AA31" s="33">
        <f>$AA$23-SUMPRODUCT($AJ$5:$AJ$12,$B$3:$B$10)*drops!G14</f>
        <v>77.83089046437513</v>
      </c>
      <c r="AB31" s="13">
        <v>40</v>
      </c>
      <c r="AC31" s="10">
        <v>90.323638822145426</v>
      </c>
      <c r="AD31" s="10">
        <v>112.15440720074355</v>
      </c>
      <c r="AE31" s="13">
        <v>100</v>
      </c>
    </row>
    <row r="32" spans="10:31" x14ac:dyDescent="0.3">
      <c r="Y32" s="31">
        <v>2034</v>
      </c>
      <c r="Z32" s="34"/>
      <c r="AA32" s="33">
        <f>$AA$23-SUMPRODUCT($AJ$5:$AJ$12,$B$3:$B$10)*drops!G15</f>
        <v>71.307667466190139</v>
      </c>
      <c r="AB32" s="13">
        <v>40</v>
      </c>
      <c r="AC32" s="10">
        <v>88.989093674913605</v>
      </c>
      <c r="AD32" s="10">
        <v>113.54870810083649</v>
      </c>
      <c r="AE32" s="13">
        <v>100</v>
      </c>
    </row>
    <row r="33" spans="25:32" x14ac:dyDescent="0.3">
      <c r="Y33" s="31">
        <v>2035</v>
      </c>
      <c r="Z33" s="34"/>
      <c r="AA33" s="33">
        <f>$AA$23-SUMPRODUCT($AJ$5:$AJ$12,$B$3:$B$10)*drops!G16</f>
        <v>64.625985609749648</v>
      </c>
      <c r="AB33" s="13">
        <v>40</v>
      </c>
      <c r="AC33" s="10">
        <v>87.654548527681783</v>
      </c>
      <c r="AD33" s="10">
        <v>114.94300900092944</v>
      </c>
      <c r="AE33" s="13">
        <v>100</v>
      </c>
    </row>
    <row r="34" spans="25:32" x14ac:dyDescent="0.3">
      <c r="Y34" s="31">
        <v>2036</v>
      </c>
      <c r="Z34" s="34"/>
      <c r="AA34" s="33">
        <f>$AA$23-SUMPRODUCT($AJ$5:$AJ$12,$B$3:$B$10)*drops!G17</f>
        <v>58.102762611564664</v>
      </c>
      <c r="AB34" s="13">
        <v>40</v>
      </c>
      <c r="AC34" s="10">
        <v>86.320003380449961</v>
      </c>
      <c r="AD34" s="10">
        <v>116.33730990102238</v>
      </c>
      <c r="AE34" s="13">
        <v>100</v>
      </c>
    </row>
    <row r="35" spans="25:32" x14ac:dyDescent="0.3">
      <c r="Y35" s="31">
        <v>2037</v>
      </c>
      <c r="Z35" s="34"/>
      <c r="AA35" s="33">
        <f>$AA$23-SUMPRODUCT($AJ$5:$AJ$12,$B$3:$B$10)*drops!G18</f>
        <v>52.054916188146223</v>
      </c>
      <c r="AB35" s="13">
        <v>40</v>
      </c>
      <c r="AC35" s="10">
        <v>84.985458233218139</v>
      </c>
      <c r="AD35" s="10">
        <v>117.73161080111532</v>
      </c>
      <c r="AE35" s="13">
        <v>100</v>
      </c>
    </row>
    <row r="36" spans="25:32" x14ac:dyDescent="0.3">
      <c r="Y36" s="31">
        <v>2038</v>
      </c>
      <c r="Z36" s="34"/>
      <c r="AA36" s="33">
        <f>$AA$23-SUMPRODUCT($AJ$5:$AJ$12,$B$3:$B$10)*drops!G19</f>
        <v>46.799364056005267</v>
      </c>
      <c r="AB36" s="13">
        <v>40</v>
      </c>
      <c r="AC36" s="10">
        <v>83.650913085986318</v>
      </c>
      <c r="AD36" s="10">
        <v>119.12591170120827</v>
      </c>
      <c r="AE36" s="13">
        <v>100</v>
      </c>
    </row>
    <row r="37" spans="25:32" x14ac:dyDescent="0.3">
      <c r="Y37" s="31">
        <v>2039</v>
      </c>
      <c r="Z37" s="34"/>
      <c r="AA37" s="33">
        <f>$AA$23-SUMPRODUCT($AJ$5:$AJ$12,$B$3:$B$10)*drops!G20</f>
        <v>42.653023931652868</v>
      </c>
      <c r="AB37" s="13">
        <v>40</v>
      </c>
      <c r="AC37" s="10">
        <v>82.316367938754496</v>
      </c>
      <c r="AD37" s="10">
        <v>120.52021260130121</v>
      </c>
      <c r="AE37" s="13">
        <v>100</v>
      </c>
    </row>
    <row r="38" spans="25:32" x14ac:dyDescent="0.3">
      <c r="Y38" s="31">
        <v>2040</v>
      </c>
      <c r="Z38" s="34"/>
      <c r="AA38" s="33">
        <f>$AA$23-SUMPRODUCT($AJ$5:$AJ$12,$B$3:$B$10)*drops!G21</f>
        <v>39.932813531600011</v>
      </c>
      <c r="AB38" s="13">
        <v>40</v>
      </c>
      <c r="AC38" s="10">
        <v>80.981822791522674</v>
      </c>
      <c r="AD38" s="10">
        <v>121.91451350139415</v>
      </c>
      <c r="AE38" s="13">
        <v>100</v>
      </c>
    </row>
    <row r="40" spans="25:32" x14ac:dyDescent="0.3">
      <c r="Z40" s="13">
        <f>2200</f>
        <v>2200</v>
      </c>
      <c r="AA40" s="33">
        <f>SUM(AA24:AA38)+700</f>
        <v>1811.9755214599372</v>
      </c>
    </row>
    <row r="41" spans="25:32" x14ac:dyDescent="0.3">
      <c r="AD41" s="10">
        <v>40</v>
      </c>
      <c r="AE41" s="13">
        <v>1109</v>
      </c>
    </row>
    <row r="42" spans="25:32" x14ac:dyDescent="0.3">
      <c r="AD42" s="10">
        <v>50</v>
      </c>
      <c r="AE42" s="13">
        <v>1172</v>
      </c>
      <c r="AF42" s="29">
        <f t="shared" ref="AF42:AF47" si="2">(AE42-$AE$41)/$AE$41</f>
        <v>5.6807935076645624E-2</v>
      </c>
    </row>
    <row r="43" spans="25:32" x14ac:dyDescent="0.3">
      <c r="AD43" s="10">
        <v>60</v>
      </c>
      <c r="AE43" s="13">
        <v>1238</v>
      </c>
      <c r="AF43" s="29">
        <f t="shared" si="2"/>
        <v>0.11632100991884581</v>
      </c>
    </row>
    <row r="44" spans="25:32" x14ac:dyDescent="0.3">
      <c r="Z44">
        <v>1</v>
      </c>
      <c r="AA44" s="13">
        <v>502</v>
      </c>
      <c r="AD44" s="10">
        <v>70</v>
      </c>
      <c r="AE44" s="13">
        <v>1305</v>
      </c>
      <c r="AF44" s="29">
        <f t="shared" si="2"/>
        <v>0.17673579801623085</v>
      </c>
    </row>
    <row r="45" spans="25:32" x14ac:dyDescent="0.3">
      <c r="Z45">
        <v>2</v>
      </c>
      <c r="AA45" s="13">
        <v>255</v>
      </c>
      <c r="AD45" s="10">
        <v>80</v>
      </c>
      <c r="AE45" s="13">
        <v>1368</v>
      </c>
      <c r="AF45" s="29">
        <f t="shared" si="2"/>
        <v>0.23354373309287646</v>
      </c>
    </row>
    <row r="46" spans="25:32" x14ac:dyDescent="0.3">
      <c r="Z46">
        <v>3</v>
      </c>
      <c r="AA46" s="13">
        <v>382</v>
      </c>
      <c r="AB46" s="52">
        <f>(AA44-AA47)/AA44</f>
        <v>0.12151394422310757</v>
      </c>
      <c r="AD46" s="10">
        <v>90</v>
      </c>
      <c r="AE46" s="13">
        <v>1436</v>
      </c>
      <c r="AF46" s="29">
        <f t="shared" si="2"/>
        <v>0.29486023444544635</v>
      </c>
    </row>
    <row r="47" spans="25:32" x14ac:dyDescent="0.3">
      <c r="AA47" s="13">
        <v>441</v>
      </c>
      <c r="AD47" s="10">
        <v>100</v>
      </c>
      <c r="AE47" s="13">
        <v>1500</v>
      </c>
      <c r="AF47" s="29">
        <f t="shared" si="2"/>
        <v>0.3525698827772768</v>
      </c>
    </row>
  </sheetData>
  <pageMargins left="0.7" right="0.7" top="0.75" bottom="0.75" header="0.3" footer="0.3"/>
  <pageSetup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Scroll Bar 1">
              <controlPr defaultSize="0" autoPict="0">
                <anchor moveWithCells="1">
                  <from>
                    <xdr:col>2</xdr:col>
                    <xdr:colOff>7620</xdr:colOff>
                    <xdr:row>1</xdr:row>
                    <xdr:rowOff>160020</xdr:rowOff>
                  </from>
                  <to>
                    <xdr:col>2</xdr:col>
                    <xdr:colOff>1165860</xdr:colOff>
                    <xdr:row>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Scroll Bar 2">
              <controlPr defaultSize="0" autoPict="0">
                <anchor moveWithCells="1">
                  <from>
                    <xdr:col>2</xdr:col>
                    <xdr:colOff>7620</xdr:colOff>
                    <xdr:row>2</xdr:row>
                    <xdr:rowOff>160020</xdr:rowOff>
                  </from>
                  <to>
                    <xdr:col>2</xdr:col>
                    <xdr:colOff>1165860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Scroll Bar 3">
              <controlPr defaultSize="0" autoPict="0">
                <anchor moveWithCells="1">
                  <from>
                    <xdr:col>2</xdr:col>
                    <xdr:colOff>15240</xdr:colOff>
                    <xdr:row>3</xdr:row>
                    <xdr:rowOff>152400</xdr:rowOff>
                  </from>
                  <to>
                    <xdr:col>2</xdr:col>
                    <xdr:colOff>1173480</xdr:colOff>
                    <xdr:row>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Scroll Bar 4">
              <controlPr defaultSize="0" autoPict="0">
                <anchor moveWithCells="1">
                  <from>
                    <xdr:col>2</xdr:col>
                    <xdr:colOff>7620</xdr:colOff>
                    <xdr:row>4</xdr:row>
                    <xdr:rowOff>167640</xdr:rowOff>
                  </from>
                  <to>
                    <xdr:col>2</xdr:col>
                    <xdr:colOff>1165860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Scroll Bar 5">
              <controlPr defaultSize="0" autoPict="0">
                <anchor moveWithCells="1">
                  <from>
                    <xdr:col>2</xdr:col>
                    <xdr:colOff>22860</xdr:colOff>
                    <xdr:row>5</xdr:row>
                    <xdr:rowOff>175260</xdr:rowOff>
                  </from>
                  <to>
                    <xdr:col>3</xdr:col>
                    <xdr:colOff>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Scroll Bar 6">
              <controlPr defaultSize="0" autoPict="0">
                <anchor moveWithCells="1">
                  <from>
                    <xdr:col>2</xdr:col>
                    <xdr:colOff>15240</xdr:colOff>
                    <xdr:row>7</xdr:row>
                    <xdr:rowOff>0</xdr:rowOff>
                  </from>
                  <to>
                    <xdr:col>2</xdr:col>
                    <xdr:colOff>1173480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Scroll Bar 7">
              <controlPr defaultSize="0" autoPict="0">
                <anchor moveWithCells="1">
                  <from>
                    <xdr:col>2</xdr:col>
                    <xdr:colOff>15240</xdr:colOff>
                    <xdr:row>7</xdr:row>
                    <xdr:rowOff>175260</xdr:rowOff>
                  </from>
                  <to>
                    <xdr:col>2</xdr:col>
                    <xdr:colOff>1173480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Scroll Bar 8">
              <controlPr defaultSize="0" autoPict="0">
                <anchor moveWithCells="1">
                  <from>
                    <xdr:col>2</xdr:col>
                    <xdr:colOff>15240</xdr:colOff>
                    <xdr:row>8</xdr:row>
                    <xdr:rowOff>167640</xdr:rowOff>
                  </from>
                  <to>
                    <xdr:col>2</xdr:col>
                    <xdr:colOff>1173480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Scroll Bar 10">
              <controlPr defaultSize="0" autoPict="0">
                <anchor mov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1165860</xdr:colOff>
                    <xdr:row>1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2A35-3D9F-4B2E-A32A-B43BD7016899}">
  <dimension ref="A2:AL45"/>
  <sheetViews>
    <sheetView workbookViewId="0">
      <selection activeCell="D21" sqref="D21"/>
    </sheetView>
  </sheetViews>
  <sheetFormatPr defaultRowHeight="14.4" x14ac:dyDescent="0.3"/>
  <cols>
    <col min="1" max="1" width="21.21875" customWidth="1"/>
    <col min="2" max="2" width="6.88671875" customWidth="1"/>
    <col min="3" max="3" width="17.21875" customWidth="1"/>
    <col min="4" max="4" width="6.88671875" customWidth="1"/>
    <col min="5" max="10" width="7.44140625" customWidth="1"/>
    <col min="21" max="24" width="7" customWidth="1"/>
    <col min="34" max="34" width="24.21875" bestFit="1" customWidth="1"/>
    <col min="35" max="35" width="9" customWidth="1"/>
    <col min="36" max="36" width="13.77734375" bestFit="1" customWidth="1"/>
    <col min="38" max="38" width="8.88671875" style="12"/>
  </cols>
  <sheetData>
    <row r="2" spans="1:38" x14ac:dyDescent="0.3">
      <c r="A2" s="11" t="s">
        <v>49</v>
      </c>
    </row>
    <row r="3" spans="1:38" x14ac:dyDescent="0.3">
      <c r="A3" s="11" t="s">
        <v>71</v>
      </c>
      <c r="B3" s="29">
        <f>C3/100</f>
        <v>0.55000000000000004</v>
      </c>
      <c r="C3">
        <v>55</v>
      </c>
      <c r="D3" s="12">
        <v>1</v>
      </c>
      <c r="Y3" t="s">
        <v>60</v>
      </c>
    </row>
    <row r="4" spans="1:38" x14ac:dyDescent="0.3">
      <c r="A4" s="11" t="s">
        <v>67</v>
      </c>
      <c r="B4" s="29">
        <f t="shared" ref="B4:B10" si="0">C4/100</f>
        <v>0.55000000000000004</v>
      </c>
      <c r="C4">
        <v>55</v>
      </c>
      <c r="D4" s="12">
        <v>1</v>
      </c>
      <c r="AJ4" t="s">
        <v>73</v>
      </c>
      <c r="AK4" t="s">
        <v>74</v>
      </c>
      <c r="AL4" s="12" t="s">
        <v>75</v>
      </c>
    </row>
    <row r="5" spans="1:38" x14ac:dyDescent="0.3">
      <c r="A5" s="11" t="s">
        <v>66</v>
      </c>
      <c r="B5" s="29">
        <f t="shared" si="0"/>
        <v>0.55000000000000004</v>
      </c>
      <c r="C5">
        <v>55</v>
      </c>
      <c r="D5" s="12">
        <v>1</v>
      </c>
      <c r="Y5" t="s">
        <v>58</v>
      </c>
      <c r="AH5" s="25" t="s">
        <v>26</v>
      </c>
      <c r="AI5" s="25" t="s">
        <v>35</v>
      </c>
      <c r="AJ5" s="51">
        <f>pmsa!Q25</f>
        <v>26.275326928879924</v>
      </c>
      <c r="AK5" s="51">
        <f>AJ5*(1-B3)</f>
        <v>11.823897117995964</v>
      </c>
      <c r="AL5" s="12">
        <v>1</v>
      </c>
    </row>
    <row r="6" spans="1:38" x14ac:dyDescent="0.3">
      <c r="A6" s="11" t="s">
        <v>44</v>
      </c>
      <c r="B6" s="29">
        <f t="shared" si="0"/>
        <v>0.75</v>
      </c>
      <c r="C6">
        <v>75</v>
      </c>
      <c r="D6" s="12">
        <v>1</v>
      </c>
      <c r="AH6" s="25" t="s">
        <v>27</v>
      </c>
      <c r="AI6" s="25" t="s">
        <v>34</v>
      </c>
      <c r="AJ6" s="51">
        <f>pmsa!Q26</f>
        <v>9.0086835184731182</v>
      </c>
      <c r="AK6" s="51">
        <f t="shared" ref="AK6:AK12" si="1">AJ6*(1-B4)</f>
        <v>4.0539075833129026</v>
      </c>
      <c r="AL6" s="12">
        <v>1</v>
      </c>
    </row>
    <row r="7" spans="1:38" x14ac:dyDescent="0.3">
      <c r="A7" s="11" t="s">
        <v>68</v>
      </c>
      <c r="B7" s="29">
        <f t="shared" si="0"/>
        <v>0.5</v>
      </c>
      <c r="C7">
        <v>50</v>
      </c>
      <c r="D7" s="12">
        <v>1</v>
      </c>
      <c r="Y7" t="s">
        <v>59</v>
      </c>
      <c r="AH7" s="25" t="s">
        <v>28</v>
      </c>
      <c r="AI7" s="25" t="s">
        <v>41</v>
      </c>
      <c r="AJ7" s="51">
        <f>pmsa!Q27</f>
        <v>11.260854398091398</v>
      </c>
      <c r="AK7" s="51">
        <f t="shared" si="1"/>
        <v>5.0673844791411291</v>
      </c>
      <c r="AL7" s="12">
        <v>2</v>
      </c>
    </row>
    <row r="8" spans="1:38" x14ac:dyDescent="0.3">
      <c r="A8" s="11" t="s">
        <v>69</v>
      </c>
      <c r="B8" s="29">
        <f t="shared" si="0"/>
        <v>0.5</v>
      </c>
      <c r="C8">
        <v>50</v>
      </c>
      <c r="D8" s="12">
        <v>1</v>
      </c>
      <c r="AH8" s="25" t="s">
        <v>14</v>
      </c>
      <c r="AI8" s="25" t="s">
        <v>42</v>
      </c>
      <c r="AJ8" s="51">
        <f>pmsa!Q28</f>
        <v>18.830577191894459</v>
      </c>
      <c r="AK8" s="51">
        <f t="shared" si="1"/>
        <v>4.7076442979736148</v>
      </c>
      <c r="AL8" s="12">
        <v>3</v>
      </c>
    </row>
    <row r="9" spans="1:38" x14ac:dyDescent="0.3">
      <c r="A9" s="11" t="s">
        <v>45</v>
      </c>
      <c r="B9" s="29">
        <f t="shared" si="0"/>
        <v>1</v>
      </c>
      <c r="C9">
        <v>100</v>
      </c>
      <c r="D9" s="12">
        <v>1</v>
      </c>
      <c r="Y9" t="s">
        <v>61</v>
      </c>
      <c r="AH9" s="25" t="s">
        <v>30</v>
      </c>
      <c r="AI9" s="25" t="s">
        <v>36</v>
      </c>
      <c r="AJ9" s="51">
        <f>pmsa!Q29</f>
        <v>15.014472530788536</v>
      </c>
      <c r="AK9" s="51">
        <f t="shared" si="1"/>
        <v>7.5072362653942681</v>
      </c>
      <c r="AL9" s="12">
        <v>2</v>
      </c>
    </row>
    <row r="10" spans="1:38" x14ac:dyDescent="0.3">
      <c r="A10" s="11" t="s">
        <v>70</v>
      </c>
      <c r="B10" s="29">
        <f t="shared" si="0"/>
        <v>0.75</v>
      </c>
      <c r="C10">
        <v>75</v>
      </c>
      <c r="D10" s="12">
        <v>1</v>
      </c>
      <c r="Y10" t="s">
        <v>62</v>
      </c>
      <c r="AH10" s="25" t="s">
        <v>31</v>
      </c>
      <c r="AI10" s="25" t="s">
        <v>37</v>
      </c>
      <c r="AJ10" s="51">
        <f>pmsa!Q30</f>
        <v>9.0086835184731182</v>
      </c>
      <c r="AK10" s="51">
        <f t="shared" si="1"/>
        <v>4.5043417592365591</v>
      </c>
      <c r="AL10" s="12">
        <v>1</v>
      </c>
    </row>
    <row r="11" spans="1:38" x14ac:dyDescent="0.3">
      <c r="AH11" s="25" t="s">
        <v>33</v>
      </c>
      <c r="AI11" s="25" t="s">
        <v>38</v>
      </c>
      <c r="AJ11" s="51">
        <f>pmsa!Q31</f>
        <v>4.7394254298353573</v>
      </c>
      <c r="AK11" s="51">
        <f t="shared" si="1"/>
        <v>0</v>
      </c>
      <c r="AL11" s="12">
        <v>3</v>
      </c>
    </row>
    <row r="12" spans="1:38" x14ac:dyDescent="0.3">
      <c r="Y12" s="32" t="s">
        <v>0</v>
      </c>
      <c r="Z12" s="32" t="s">
        <v>47</v>
      </c>
      <c r="AA12" s="32" t="s">
        <v>47</v>
      </c>
      <c r="AB12" s="32" t="s">
        <v>48</v>
      </c>
      <c r="AC12" s="32" t="s">
        <v>47</v>
      </c>
      <c r="AD12" s="32" t="s">
        <v>47</v>
      </c>
      <c r="AE12" s="32" t="s">
        <v>65</v>
      </c>
      <c r="AF12" s="32" t="s">
        <v>90</v>
      </c>
      <c r="AG12" s="32" t="s">
        <v>91</v>
      </c>
      <c r="AH12" s="25" t="s">
        <v>32</v>
      </c>
      <c r="AI12" s="25" t="s">
        <v>72</v>
      </c>
      <c r="AJ12" s="51">
        <f>pmsa!Q32</f>
        <v>4.5043417592365547</v>
      </c>
      <c r="AK12" s="51">
        <f t="shared" si="1"/>
        <v>1.1260854398091387</v>
      </c>
      <c r="AL12" s="12">
        <v>3</v>
      </c>
    </row>
    <row r="13" spans="1:38" x14ac:dyDescent="0.3">
      <c r="Y13" s="32">
        <v>2015</v>
      </c>
      <c r="Z13" s="33">
        <v>125.3</v>
      </c>
      <c r="AA13" s="32"/>
      <c r="AB13" s="13">
        <v>40</v>
      </c>
      <c r="AC13" s="34"/>
      <c r="AD13" s="34"/>
      <c r="AE13" s="13"/>
      <c r="AF13" s="32"/>
      <c r="AG13" s="12"/>
      <c r="AJ13" s="50">
        <f>SUM(AJ5:AJ12)</f>
        <v>98.642365275672461</v>
      </c>
      <c r="AK13" s="50">
        <f>SUM(AK5:AK12)</f>
        <v>38.790496942863577</v>
      </c>
    </row>
    <row r="14" spans="1:38" x14ac:dyDescent="0.3">
      <c r="Y14" s="32">
        <v>2016</v>
      </c>
      <c r="Z14" s="33">
        <v>133.30000000000001</v>
      </c>
      <c r="AA14" s="32"/>
      <c r="AB14" s="13">
        <v>40</v>
      </c>
      <c r="AC14" s="34"/>
      <c r="AD14" s="34"/>
      <c r="AE14" s="13"/>
      <c r="AF14" s="32"/>
      <c r="AG14" s="12"/>
    </row>
    <row r="15" spans="1:38" x14ac:dyDescent="0.3">
      <c r="Y15" s="32">
        <v>2017</v>
      </c>
      <c r="Z15" s="33">
        <v>117.2</v>
      </c>
      <c r="AA15" s="32"/>
      <c r="AB15" s="13">
        <v>40</v>
      </c>
      <c r="AC15" s="34"/>
      <c r="AD15" s="34"/>
      <c r="AE15" s="13"/>
      <c r="AF15" s="32"/>
      <c r="AG15" s="12"/>
    </row>
    <row r="16" spans="1:38" x14ac:dyDescent="0.3">
      <c r="Y16" s="32">
        <v>2018</v>
      </c>
      <c r="Z16" s="33">
        <v>120</v>
      </c>
      <c r="AA16" s="34"/>
      <c r="AB16" s="13">
        <v>40</v>
      </c>
      <c r="AC16" s="34"/>
      <c r="AD16" s="34"/>
      <c r="AE16" s="13"/>
      <c r="AF16" s="34"/>
      <c r="AG16" s="12"/>
    </row>
    <row r="17" spans="25:36" x14ac:dyDescent="0.3">
      <c r="Y17" s="32">
        <v>2019</v>
      </c>
      <c r="Z17" s="33">
        <v>105</v>
      </c>
      <c r="AA17" s="13">
        <v>100</v>
      </c>
      <c r="AB17" s="13">
        <v>40</v>
      </c>
      <c r="AC17" s="34"/>
      <c r="AD17" s="34"/>
      <c r="AE17" s="13">
        <v>100</v>
      </c>
      <c r="AF17" s="34"/>
      <c r="AG17" s="12"/>
      <c r="AJ17" s="11" t="s">
        <v>46</v>
      </c>
    </row>
    <row r="18" spans="25:36" x14ac:dyDescent="0.3">
      <c r="Y18" s="32">
        <v>2020</v>
      </c>
      <c r="Z18" s="33">
        <v>93</v>
      </c>
      <c r="AA18" s="54">
        <f>$AA$17-SUMPRODUCT($AJ$5:$AJ$12,$B$3:$B$10)*AJ21</f>
        <v>98.443971127083628</v>
      </c>
      <c r="AB18" s="13">
        <v>40</v>
      </c>
      <c r="AC18" s="34"/>
      <c r="AD18" s="34"/>
      <c r="AE18" s="13">
        <v>100</v>
      </c>
      <c r="AF18" s="34"/>
      <c r="AG18" s="12"/>
      <c r="AJ18" s="11" t="s">
        <v>64</v>
      </c>
    </row>
    <row r="19" spans="25:36" x14ac:dyDescent="0.3">
      <c r="Y19" s="32">
        <v>2021</v>
      </c>
      <c r="Z19" s="33">
        <v>106</v>
      </c>
      <c r="AA19" s="54">
        <f t="shared" ref="AA19:AA38" si="2">$AA$17-SUMPRODUCT($AJ$5:$AJ$12,$B$3:$B$10)*AJ22</f>
        <v>96.378722558391729</v>
      </c>
      <c r="AB19" s="13">
        <v>40</v>
      </c>
      <c r="AC19" s="34"/>
      <c r="AD19" s="34"/>
      <c r="AE19" s="13">
        <v>100</v>
      </c>
      <c r="AF19" s="34"/>
      <c r="AG19" s="12"/>
      <c r="AJ19" s="11" t="s">
        <v>63</v>
      </c>
    </row>
    <row r="20" spans="25:36" x14ac:dyDescent="0.3">
      <c r="Y20" s="32">
        <v>2022</v>
      </c>
      <c r="Z20" s="33">
        <v>99.7</v>
      </c>
      <c r="AA20" s="54">
        <f t="shared" si="2"/>
        <v>93.86422586599376</v>
      </c>
      <c r="AB20" s="13">
        <v>40</v>
      </c>
      <c r="AC20" s="34"/>
      <c r="AD20" s="34"/>
      <c r="AE20" s="13">
        <v>100</v>
      </c>
      <c r="AF20" s="34"/>
      <c r="AG20" s="12"/>
      <c r="AI20">
        <v>2019</v>
      </c>
      <c r="AJ20" s="30">
        <f>(-0.0167*(AI20-$AI$20)^3 + 0.4755*(AI20-$AI$20)^2 + 2.141*(AI20-$AI$20))/100</f>
        <v>0</v>
      </c>
    </row>
    <row r="21" spans="25:36" x14ac:dyDescent="0.3">
      <c r="Y21" s="32">
        <v>2023</v>
      </c>
      <c r="Z21" s="33">
        <v>103.34622349999999</v>
      </c>
      <c r="AA21" s="54">
        <f t="shared" si="2"/>
        <v>90.960452621959206</v>
      </c>
      <c r="AB21" s="13">
        <v>40</v>
      </c>
      <c r="AC21" s="34"/>
      <c r="AD21" s="34"/>
      <c r="AE21" s="13">
        <v>100</v>
      </c>
      <c r="AF21" s="34"/>
      <c r="AG21" s="12"/>
      <c r="AI21">
        <v>2020</v>
      </c>
      <c r="AJ21" s="30">
        <f t="shared" ref="AJ21:AJ41" si="3">(-0.0167*(AI21-$AI$20)^3 + 0.4755*(AI21-$AI$20)^2 + 2.141*(AI21-$AI$20))/100</f>
        <v>2.5998E-2</v>
      </c>
    </row>
    <row r="22" spans="25:36" x14ac:dyDescent="0.3">
      <c r="Y22" s="32">
        <v>2024</v>
      </c>
      <c r="Z22" s="33">
        <v>101.563939</v>
      </c>
      <c r="AA22" s="54">
        <f t="shared" si="2"/>
        <v>87.72737439835754</v>
      </c>
      <c r="AB22" s="13">
        <v>40</v>
      </c>
      <c r="AC22" s="34"/>
      <c r="AD22" s="34"/>
      <c r="AE22" s="13">
        <v>100</v>
      </c>
      <c r="AF22" s="34"/>
      <c r="AG22" s="12"/>
      <c r="AI22">
        <v>2021</v>
      </c>
      <c r="AJ22" s="30">
        <f t="shared" si="3"/>
        <v>6.0503999999999995E-2</v>
      </c>
    </row>
    <row r="23" spans="25:36" x14ac:dyDescent="0.3">
      <c r="Y23" s="32">
        <v>2025</v>
      </c>
      <c r="Z23" s="33">
        <v>100</v>
      </c>
      <c r="AA23" s="54">
        <f t="shared" si="2"/>
        <v>84.224962767258233</v>
      </c>
      <c r="AB23" s="13">
        <v>40</v>
      </c>
      <c r="AC23" s="10">
        <v>100</v>
      </c>
      <c r="AD23" s="10">
        <v>100</v>
      </c>
      <c r="AE23" s="13">
        <v>100</v>
      </c>
      <c r="AF23" s="53">
        <v>100</v>
      </c>
      <c r="AG23" s="63">
        <v>100</v>
      </c>
      <c r="AI23">
        <v>2022</v>
      </c>
      <c r="AJ23" s="30">
        <f t="shared" si="3"/>
        <v>0.102516</v>
      </c>
    </row>
    <row r="24" spans="25:36" x14ac:dyDescent="0.3">
      <c r="Y24" s="31">
        <v>2026</v>
      </c>
      <c r="Z24" s="34"/>
      <c r="AA24" s="54">
        <f t="shared" si="2"/>
        <v>80.513189300730758</v>
      </c>
      <c r="AB24" s="13">
        <v>40</v>
      </c>
      <c r="AC24" s="10">
        <v>99</v>
      </c>
      <c r="AD24" s="10">
        <v>102.39430090009294</v>
      </c>
      <c r="AE24" s="13">
        <v>100</v>
      </c>
      <c r="AF24" s="54">
        <v>100</v>
      </c>
      <c r="AG24" s="63">
        <v>100</v>
      </c>
      <c r="AI24">
        <v>2023</v>
      </c>
      <c r="AJ24" s="30">
        <f t="shared" si="3"/>
        <v>0.151032</v>
      </c>
    </row>
    <row r="25" spans="25:36" x14ac:dyDescent="0.3">
      <c r="Y25" s="31">
        <v>2027</v>
      </c>
      <c r="Z25" s="34"/>
      <c r="AA25" s="54">
        <f t="shared" si="2"/>
        <v>76.652025570844586</v>
      </c>
      <c r="AB25" s="13">
        <v>40</v>
      </c>
      <c r="AC25" s="10">
        <v>98.330909705536357</v>
      </c>
      <c r="AD25" s="10">
        <v>103.78860180018589</v>
      </c>
      <c r="AE25" s="13">
        <v>100</v>
      </c>
      <c r="AF25" s="54">
        <v>99.5353457913466</v>
      </c>
      <c r="AG25" s="63">
        <v>98.591122547589208</v>
      </c>
      <c r="AI25">
        <v>2024</v>
      </c>
      <c r="AJ25" s="30">
        <f t="shared" si="3"/>
        <v>0.20504999999999998</v>
      </c>
    </row>
    <row r="26" spans="25:36" x14ac:dyDescent="0.3">
      <c r="Y26" s="31">
        <v>2028</v>
      </c>
      <c r="Z26" s="34"/>
      <c r="AA26" s="54">
        <f t="shared" si="2"/>
        <v>72.701443149669217</v>
      </c>
      <c r="AB26" s="13">
        <v>40</v>
      </c>
      <c r="AC26" s="10">
        <v>96.996364558304535</v>
      </c>
      <c r="AD26" s="10">
        <v>105.18290270027883</v>
      </c>
      <c r="AE26" s="13">
        <v>100</v>
      </c>
      <c r="AF26" s="54">
        <v>99.070691582693215</v>
      </c>
      <c r="AG26" s="63">
        <v>96.369960700791751</v>
      </c>
      <c r="AI26">
        <v>2025</v>
      </c>
      <c r="AJ26" s="30">
        <f t="shared" si="3"/>
        <v>0.26356800000000002</v>
      </c>
    </row>
    <row r="27" spans="25:36" x14ac:dyDescent="0.3">
      <c r="Y27" s="31">
        <v>2029</v>
      </c>
      <c r="Z27" s="34"/>
      <c r="AA27" s="54">
        <f t="shared" si="2"/>
        <v>68.72141360927408</v>
      </c>
      <c r="AB27" s="13">
        <v>40</v>
      </c>
      <c r="AC27" s="10">
        <v>95.661819411072713</v>
      </c>
      <c r="AD27" s="10">
        <v>106.57720360037177</v>
      </c>
      <c r="AE27" s="13">
        <v>100</v>
      </c>
      <c r="AF27" s="54">
        <v>98.606037374039815</v>
      </c>
      <c r="AG27" s="63">
        <v>92.937256028468397</v>
      </c>
      <c r="AI27">
        <v>2026</v>
      </c>
      <c r="AJ27" s="30">
        <f t="shared" si="3"/>
        <v>0.32558399999999998</v>
      </c>
    </row>
    <row r="28" spans="25:36" x14ac:dyDescent="0.3">
      <c r="Y28" s="31">
        <v>2030</v>
      </c>
      <c r="Z28" s="34"/>
      <c r="AA28" s="54">
        <f t="shared" si="2"/>
        <v>64.771908521728676</v>
      </c>
      <c r="AB28" s="13">
        <v>40</v>
      </c>
      <c r="AC28" s="10">
        <v>94.327274263840891</v>
      </c>
      <c r="AD28" s="10">
        <v>107.97150450046472</v>
      </c>
      <c r="AE28" s="13">
        <v>100</v>
      </c>
      <c r="AF28" s="54">
        <v>98.141383165386415</v>
      </c>
      <c r="AG28" s="63">
        <v>88.51328904435114</v>
      </c>
      <c r="AI28">
        <v>2027</v>
      </c>
      <c r="AJ28" s="30">
        <f t="shared" si="3"/>
        <v>0.390096</v>
      </c>
    </row>
    <row r="29" spans="25:36" x14ac:dyDescent="0.3">
      <c r="Y29" s="31">
        <v>2031</v>
      </c>
      <c r="Z29" s="34"/>
      <c r="AA29" s="54">
        <f t="shared" si="2"/>
        <v>60.912899459102498</v>
      </c>
      <c r="AB29" s="13">
        <v>40</v>
      </c>
      <c r="AC29" s="10">
        <v>92.99272911660907</v>
      </c>
      <c r="AD29" s="10">
        <v>109.36580540055766</v>
      </c>
      <c r="AE29" s="13">
        <v>100</v>
      </c>
      <c r="AF29" s="54">
        <v>97.676728956733029</v>
      </c>
      <c r="AG29" s="63">
        <v>83.318340262171958</v>
      </c>
      <c r="AI29">
        <v>2028</v>
      </c>
      <c r="AJ29" s="30">
        <f t="shared" si="3"/>
        <v>0.4561019999999999</v>
      </c>
    </row>
    <row r="30" spans="25:36" x14ac:dyDescent="0.3">
      <c r="Y30" s="31">
        <v>2032</v>
      </c>
      <c r="Z30" s="34"/>
      <c r="AA30" s="54">
        <f t="shared" si="2"/>
        <v>57.204357993464988</v>
      </c>
      <c r="AB30" s="13">
        <v>40</v>
      </c>
      <c r="AC30" s="10">
        <v>91.658183969377248</v>
      </c>
      <c r="AD30" s="10">
        <v>110.76010630065061</v>
      </c>
      <c r="AE30" s="13">
        <v>100</v>
      </c>
      <c r="AF30" s="54">
        <v>97.21207474807963</v>
      </c>
      <c r="AG30" s="63">
        <v>77.572690195662815</v>
      </c>
      <c r="AI30">
        <v>2029</v>
      </c>
      <c r="AJ30" s="30">
        <f t="shared" si="3"/>
        <v>0.52259999999999995</v>
      </c>
    </row>
    <row r="31" spans="25:36" x14ac:dyDescent="0.3">
      <c r="Y31" s="31">
        <v>2033</v>
      </c>
      <c r="Z31" s="34"/>
      <c r="AA31" s="54">
        <f t="shared" si="2"/>
        <v>53.706255696885641</v>
      </c>
      <c r="AB31" s="13">
        <v>40</v>
      </c>
      <c r="AC31" s="10">
        <v>90.323638822145426</v>
      </c>
      <c r="AD31" s="10">
        <v>112.15440720074355</v>
      </c>
      <c r="AE31" s="13">
        <v>100</v>
      </c>
      <c r="AF31" s="54">
        <v>96.747420539426244</v>
      </c>
      <c r="AG31" s="63">
        <v>71.496619358555719</v>
      </c>
      <c r="AI31">
        <v>2030</v>
      </c>
      <c r="AJ31" s="30">
        <f t="shared" si="3"/>
        <v>0.588588</v>
      </c>
    </row>
    <row r="32" spans="25:36" x14ac:dyDescent="0.3">
      <c r="Y32" s="31">
        <v>2034</v>
      </c>
      <c r="Z32" s="34"/>
      <c r="AA32" s="54">
        <f t="shared" si="2"/>
        <v>50.478564141433921</v>
      </c>
      <c r="AB32" s="13">
        <v>40</v>
      </c>
      <c r="AC32" s="10">
        <v>88.989093674913605</v>
      </c>
      <c r="AD32" s="10">
        <v>113.54870810083649</v>
      </c>
      <c r="AE32" s="13">
        <v>100</v>
      </c>
      <c r="AF32" s="54">
        <v>96.282766330772844</v>
      </c>
      <c r="AG32" s="63">
        <v>65.31040826458262</v>
      </c>
      <c r="AI32">
        <v>2031</v>
      </c>
      <c r="AJ32" s="30">
        <f t="shared" si="3"/>
        <v>0.65306399999999998</v>
      </c>
    </row>
    <row r="33" spans="25:36" x14ac:dyDescent="0.3">
      <c r="Y33" s="31">
        <v>2035</v>
      </c>
      <c r="Z33" s="34"/>
      <c r="AA33" s="54">
        <f t="shared" si="2"/>
        <v>47.581254899179321</v>
      </c>
      <c r="AB33" s="13">
        <v>40</v>
      </c>
      <c r="AC33" s="10">
        <v>87.654548527681783</v>
      </c>
      <c r="AD33" s="10">
        <v>114.94300900092944</v>
      </c>
      <c r="AE33" s="13">
        <v>100</v>
      </c>
      <c r="AF33" s="54">
        <v>92.437289906193342</v>
      </c>
      <c r="AG33" s="63">
        <v>59.234337427475509</v>
      </c>
      <c r="AI33">
        <v>2032</v>
      </c>
      <c r="AJ33" s="30">
        <f t="shared" si="3"/>
        <v>0.71502600000000005</v>
      </c>
    </row>
    <row r="34" spans="25:36" x14ac:dyDescent="0.3">
      <c r="Y34" s="31">
        <v>2036</v>
      </c>
      <c r="Z34" s="34"/>
      <c r="AA34" s="54">
        <f t="shared" si="2"/>
        <v>45.074299542191291</v>
      </c>
      <c r="AB34" s="13">
        <v>40</v>
      </c>
      <c r="AC34" s="10">
        <v>86.320003380449961</v>
      </c>
      <c r="AD34" s="10">
        <v>116.33730990102238</v>
      </c>
      <c r="AE34" s="13">
        <v>100</v>
      </c>
      <c r="AF34" s="54">
        <v>84.117766932208752</v>
      </c>
      <c r="AG34" s="63">
        <v>53.488687360966381</v>
      </c>
      <c r="AI34">
        <v>2033</v>
      </c>
      <c r="AJ34" s="30">
        <f t="shared" si="3"/>
        <v>0.77347200000000005</v>
      </c>
    </row>
    <row r="35" spans="25:36" x14ac:dyDescent="0.3">
      <c r="Y35" s="31">
        <v>2037</v>
      </c>
      <c r="Z35" s="34"/>
      <c r="AA35" s="54">
        <f t="shared" si="2"/>
        <v>43.017669642539317</v>
      </c>
      <c r="AB35" s="13">
        <v>40</v>
      </c>
      <c r="AC35" s="10">
        <v>84.985458233218139</v>
      </c>
      <c r="AD35" s="10">
        <v>117.73161080111532</v>
      </c>
      <c r="AE35" s="13">
        <v>100</v>
      </c>
      <c r="AF35" s="54">
        <v>72.742092661658404</v>
      </c>
      <c r="AG35" s="63">
        <v>48.293738578787192</v>
      </c>
      <c r="AI35">
        <v>2034</v>
      </c>
      <c r="AJ35" s="30">
        <f t="shared" si="3"/>
        <v>0.82740000000000014</v>
      </c>
    </row>
    <row r="36" spans="25:36" x14ac:dyDescent="0.3">
      <c r="Y36" s="31">
        <v>2038</v>
      </c>
      <c r="Z36" s="34"/>
      <c r="AA36" s="54">
        <f t="shared" si="2"/>
        <v>41.471336772292858</v>
      </c>
      <c r="AB36" s="13">
        <v>40</v>
      </c>
      <c r="AC36" s="10">
        <v>83.650913085986318</v>
      </c>
      <c r="AD36" s="10">
        <v>119.12591170120827</v>
      </c>
      <c r="AE36" s="13">
        <v>100</v>
      </c>
      <c r="AF36" s="54">
        <v>60.347701292252779</v>
      </c>
      <c r="AG36" s="63">
        <v>43.869771594669928</v>
      </c>
      <c r="AI36">
        <v>2035</v>
      </c>
      <c r="AJ36" s="30">
        <f t="shared" si="3"/>
        <v>0.87580799999999992</v>
      </c>
    </row>
    <row r="37" spans="25:36" x14ac:dyDescent="0.3">
      <c r="Y37" s="31">
        <v>2039</v>
      </c>
      <c r="Z37" s="34"/>
      <c r="AA37" s="54">
        <f t="shared" si="2"/>
        <v>40.495272503521413</v>
      </c>
      <c r="AB37" s="13">
        <v>40</v>
      </c>
      <c r="AC37" s="10">
        <v>82.316367938754496</v>
      </c>
      <c r="AD37" s="10">
        <v>120.52021260130121</v>
      </c>
      <c r="AE37" s="13">
        <v>100</v>
      </c>
      <c r="AF37" s="54">
        <v>48.972027021702424</v>
      </c>
      <c r="AG37" s="63">
        <v>40.437066922346595</v>
      </c>
      <c r="AI37">
        <v>2036</v>
      </c>
      <c r="AJ37" s="30">
        <f t="shared" si="3"/>
        <v>0.9176939999999999</v>
      </c>
    </row>
    <row r="38" spans="25:36" x14ac:dyDescent="0.3">
      <c r="Y38" s="31">
        <v>2040</v>
      </c>
      <c r="Z38" s="34"/>
      <c r="AA38" s="54">
        <f t="shared" si="2"/>
        <v>40.149448408294433</v>
      </c>
      <c r="AB38" s="13">
        <v>40</v>
      </c>
      <c r="AC38" s="10">
        <v>80.981822791522674</v>
      </c>
      <c r="AD38" s="10">
        <v>121.91451350139415</v>
      </c>
      <c r="AE38" s="13">
        <v>100</v>
      </c>
      <c r="AF38" s="54">
        <v>40.652504047717841</v>
      </c>
      <c r="AG38" s="63">
        <v>40</v>
      </c>
      <c r="AI38">
        <v>2037</v>
      </c>
      <c r="AJ38" s="30">
        <f t="shared" si="3"/>
        <v>0.95205599999999979</v>
      </c>
    </row>
    <row r="39" spans="25:36" x14ac:dyDescent="0.3">
      <c r="AI39">
        <v>2038</v>
      </c>
      <c r="AJ39" s="30">
        <f t="shared" si="3"/>
        <v>0.97789199999999998</v>
      </c>
    </row>
    <row r="40" spans="25:36" x14ac:dyDescent="0.3">
      <c r="AA40" s="54">
        <f>SUM(AA17:AA38)</f>
        <v>1495.051048550197</v>
      </c>
      <c r="AF40" s="33">
        <f>AF23*7+SUM(AF24:AF38)</f>
        <v>1982.5418303502115</v>
      </c>
      <c r="AG40" s="33">
        <f>AG23*7+SUM(AG24:AG38)</f>
        <v>1759.4332882864192</v>
      </c>
      <c r="AI40">
        <v>2039</v>
      </c>
      <c r="AJ40" s="30">
        <f t="shared" si="3"/>
        <v>0.99419999999999986</v>
      </c>
    </row>
    <row r="41" spans="25:36" x14ac:dyDescent="0.3">
      <c r="AA41" s="55">
        <f>(2200-AA40)/2200</f>
        <v>0.32043134156809228</v>
      </c>
      <c r="AF41" s="55">
        <f>(2200-AF40)/2200</f>
        <v>9.8844622568085683E-2</v>
      </c>
      <c r="AG41" s="55">
        <f>(2200-AG40)/2200</f>
        <v>0.20025759623344583</v>
      </c>
      <c r="AI41">
        <v>2040</v>
      </c>
      <c r="AJ41" s="30">
        <f t="shared" si="3"/>
        <v>0.99997800000000003</v>
      </c>
    </row>
    <row r="42" spans="25:36" x14ac:dyDescent="0.3">
      <c r="AA42" s="13"/>
    </row>
    <row r="43" spans="25:36" x14ac:dyDescent="0.3">
      <c r="AA43" s="13"/>
      <c r="AD43" s="56">
        <f>(AF40-AA40)/AA40</f>
        <v>0.32606965646607933</v>
      </c>
      <c r="AF43">
        <f>(600+SUM(AF23:AF38))/2200</f>
        <v>0.90115537743191432</v>
      </c>
    </row>
    <row r="44" spans="25:36" x14ac:dyDescent="0.3">
      <c r="AA44" s="13"/>
      <c r="AB44" s="55"/>
    </row>
    <row r="45" spans="25:36" x14ac:dyDescent="0.3">
      <c r="AA45" s="13"/>
    </row>
  </sheetData>
  <pageMargins left="0.7" right="0.7" top="0.75" bottom="0.75" header="0.3" footer="0.3"/>
  <pageSetup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Scroll Bar 1">
              <controlPr defaultSize="0" autoPict="0">
                <anchor moveWithCells="1">
                  <from>
                    <xdr:col>2</xdr:col>
                    <xdr:colOff>7620</xdr:colOff>
                    <xdr:row>1</xdr:row>
                    <xdr:rowOff>160020</xdr:rowOff>
                  </from>
                  <to>
                    <xdr:col>2</xdr:col>
                    <xdr:colOff>1165860</xdr:colOff>
                    <xdr:row>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Scroll Bar 2">
              <controlPr defaultSize="0" autoPict="0">
                <anchor moveWithCells="1">
                  <from>
                    <xdr:col>2</xdr:col>
                    <xdr:colOff>7620</xdr:colOff>
                    <xdr:row>2</xdr:row>
                    <xdr:rowOff>160020</xdr:rowOff>
                  </from>
                  <to>
                    <xdr:col>2</xdr:col>
                    <xdr:colOff>1165860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Scroll Bar 3">
              <controlPr defaultSize="0" autoPict="0">
                <anchor moveWithCells="1">
                  <from>
                    <xdr:col>2</xdr:col>
                    <xdr:colOff>15240</xdr:colOff>
                    <xdr:row>3</xdr:row>
                    <xdr:rowOff>152400</xdr:rowOff>
                  </from>
                  <to>
                    <xdr:col>2</xdr:col>
                    <xdr:colOff>1173480</xdr:colOff>
                    <xdr:row>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Scroll Bar 4">
              <controlPr defaultSize="0" autoPict="0">
                <anchor moveWithCells="1">
                  <from>
                    <xdr:col>2</xdr:col>
                    <xdr:colOff>7620</xdr:colOff>
                    <xdr:row>4</xdr:row>
                    <xdr:rowOff>167640</xdr:rowOff>
                  </from>
                  <to>
                    <xdr:col>2</xdr:col>
                    <xdr:colOff>1165860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Scroll Bar 5">
              <controlPr defaultSize="0" autoPict="0">
                <anchor moveWithCells="1">
                  <from>
                    <xdr:col>2</xdr:col>
                    <xdr:colOff>22860</xdr:colOff>
                    <xdr:row>5</xdr:row>
                    <xdr:rowOff>175260</xdr:rowOff>
                  </from>
                  <to>
                    <xdr:col>3</xdr:col>
                    <xdr:colOff>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Scroll Bar 6">
              <controlPr defaultSize="0" autoPict="0">
                <anchor moveWithCells="1">
                  <from>
                    <xdr:col>2</xdr:col>
                    <xdr:colOff>15240</xdr:colOff>
                    <xdr:row>7</xdr:row>
                    <xdr:rowOff>0</xdr:rowOff>
                  </from>
                  <to>
                    <xdr:col>2</xdr:col>
                    <xdr:colOff>1173480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Scroll Bar 7">
              <controlPr defaultSize="0" autoPict="0">
                <anchor moveWithCells="1">
                  <from>
                    <xdr:col>2</xdr:col>
                    <xdr:colOff>15240</xdr:colOff>
                    <xdr:row>7</xdr:row>
                    <xdr:rowOff>175260</xdr:rowOff>
                  </from>
                  <to>
                    <xdr:col>2</xdr:col>
                    <xdr:colOff>1173480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Scroll Bar 8">
              <controlPr defaultSize="0" autoPict="0">
                <anchor moveWithCells="1">
                  <from>
                    <xdr:col>2</xdr:col>
                    <xdr:colOff>15240</xdr:colOff>
                    <xdr:row>8</xdr:row>
                    <xdr:rowOff>167640</xdr:rowOff>
                  </from>
                  <to>
                    <xdr:col>2</xdr:col>
                    <xdr:colOff>1173480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01297FE6F7C94C822505269FEBB98E" ma:contentTypeVersion="14" ma:contentTypeDescription="Create a new document." ma:contentTypeScope="" ma:versionID="22046599d115d61ee701540eb2b0ad86">
  <xsd:schema xmlns:xsd="http://www.w3.org/2001/XMLSchema" xmlns:xs="http://www.w3.org/2001/XMLSchema" xmlns:p="http://schemas.microsoft.com/office/2006/metadata/properties" xmlns:ns3="b3b62c22-c806-47d9-8de7-b779afe3c9c1" targetNamespace="http://schemas.microsoft.com/office/2006/metadata/properties" ma:root="true" ma:fieldsID="b27f5a2e5840c7927e4214da27cf09a4" ns3:_="">
    <xsd:import namespace="b3b62c22-c806-47d9-8de7-b779afe3c9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62c22-c806-47d9-8de7-b779afe3c9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73E0D2-BFDC-4C3E-81FB-127B4B8A2291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b3b62c22-c806-47d9-8de7-b779afe3c9c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DD89D8E-ED2E-4C98-9FFE-ADD61ABCB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b62c22-c806-47d9-8de7-b779afe3c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B43D51-1BFF-417F-B56B-D973918B07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monthly_concs</vt:lpstr>
      <vt:lpstr>covid-scenario</vt:lpstr>
      <vt:lpstr>pmsa</vt:lpstr>
      <vt:lpstr>drops</vt:lpstr>
      <vt:lpstr>player1</vt:lpstr>
      <vt:lpstr>player2</vt:lpstr>
      <vt:lpstr>ncap-delay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Sarath Guttikunda</dc:creator>
  <cp:lastModifiedBy>Guttikunda, Sarath K</cp:lastModifiedBy>
  <dcterms:created xsi:type="dcterms:W3CDTF">2023-04-06T09:45:22Z</dcterms:created>
  <dcterms:modified xsi:type="dcterms:W3CDTF">2025-12-21T03:29:33Z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0x0101002E01297FE6F7C94C822505269FEBB98E</vt:lpwstr>
  </property>
</Properties>
</file>